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605" windowHeight="9120" activeTab="0"/>
  </bookViews>
  <sheets>
    <sheet name="Sheet1 (2)" sheetId="1" r:id="rId1"/>
  </sheets>
  <definedNames>
    <definedName name="_xlnm.Print_Titles" localSheetId="0">'Sheet1 (2)'!$6:$6</definedName>
  </definedNames>
  <calcPr fullCalcOnLoad="1"/>
</workbook>
</file>

<file path=xl/sharedStrings.xml><?xml version="1.0" encoding="utf-8"?>
<sst xmlns="http://schemas.openxmlformats.org/spreadsheetml/2006/main" count="8379" uniqueCount="988">
  <si>
    <t>Извори финансирања за функцију 310:</t>
  </si>
  <si>
    <t>Укупно за функцију 310:</t>
  </si>
  <si>
    <t>Извори финансирања за раздео 8:</t>
  </si>
  <si>
    <t>УКУПНО ЗА РАЗДЕО 8:</t>
  </si>
  <si>
    <t>Извори финансирања за функцију 113:</t>
  </si>
  <si>
    <t>Укупно за функцију 113:</t>
  </si>
  <si>
    <t>Извори финансирања за главу 9.1:</t>
  </si>
  <si>
    <t>Извори финансирања за раздео 9:</t>
  </si>
  <si>
    <t>УКУПНО ЗА РАЗДЕО 9:</t>
  </si>
  <si>
    <t>Извори финансирања за функцију 210:</t>
  </si>
  <si>
    <t>Укупно за функцију 210:</t>
  </si>
  <si>
    <t>Извори финансирања за раздео 10:</t>
  </si>
  <si>
    <t>УКУПНО ЗА РАЗДЕО 10:</t>
  </si>
  <si>
    <t>Извори финансирања за функцију 340:</t>
  </si>
  <si>
    <t>Укупно за функцију 340:</t>
  </si>
  <si>
    <t>Извори финансирања за раздео 11:</t>
  </si>
  <si>
    <t>УКУПНО ЗА РАЗДЕО 11:</t>
  </si>
  <si>
    <t>Извори финансирања за функцију 090:</t>
  </si>
  <si>
    <t>Укупно за функцију 090:</t>
  </si>
  <si>
    <t>Извори финансирања за функцију 180:</t>
  </si>
  <si>
    <t>Укупно за функцију 180:</t>
  </si>
  <si>
    <t>Извори финансирања за главу 12.1:</t>
  </si>
  <si>
    <t>Свега за главу 12.1:</t>
  </si>
  <si>
    <t>Извори финансирања за функцију 170:</t>
  </si>
  <si>
    <t>Укупно за функцију 170:</t>
  </si>
  <si>
    <t>Извори финансирања за функцију 980:</t>
  </si>
  <si>
    <t>Укупно за функцију 980:</t>
  </si>
  <si>
    <t>БУЏЕТСКИ ФОНД ЗА ФИНАНСИРАЊЕ ЦРВЕНОГ КРСТА СРБИЈЕ</t>
  </si>
  <si>
    <t>Извори финансирања за главу 25.1:</t>
  </si>
  <si>
    <t>Свега за главу 25.1:</t>
  </si>
  <si>
    <t>Извори финансирања за функцију 420:</t>
  </si>
  <si>
    <t>Укупно за функцију 420:</t>
  </si>
  <si>
    <t>Извори финансирања за функцију 410:</t>
  </si>
  <si>
    <t>Укупно за функцију 410:</t>
  </si>
  <si>
    <t>Извори финансирања за раздео 12:</t>
  </si>
  <si>
    <t>УКУПНО ЗА РАЗДЕО 12:</t>
  </si>
  <si>
    <t>Извори финансирања за раздео 13:</t>
  </si>
  <si>
    <t>УКУПНО ЗА РАЗДЕО 13:</t>
  </si>
  <si>
    <t>Извори финансирања за функцију 760:</t>
  </si>
  <si>
    <t>Укупно за функцију 760:</t>
  </si>
  <si>
    <t>МИНИСТАРСТВО ЗА ДИЈАСПОРУ</t>
  </si>
  <si>
    <t>МИНИСТАРСТВО ЗА ДРЖАВНУ УПРАВУ И ЛОКАЛНУ САМОУПРАВУ</t>
  </si>
  <si>
    <t>БУЏЕТСКИ ФОНД ЗА ПРОГРАМ ЛОКАЛНЕ САМОУПРАВЕ</t>
  </si>
  <si>
    <t>МИНИСТАРСТВО ПРИВРЕДЕ</t>
  </si>
  <si>
    <t>Укупно за функцију 430:</t>
  </si>
  <si>
    <t>Извори финансирања за функцију 440:</t>
  </si>
  <si>
    <t>Укупно за функцију 440:</t>
  </si>
  <si>
    <t>Извори финансирања за раздео 16:</t>
  </si>
  <si>
    <t>УКУПНО ЗА РАЗДЕО 16:</t>
  </si>
  <si>
    <t>Извори финансирања за функцију 010:</t>
  </si>
  <si>
    <t>Укупно за функцију 010:</t>
  </si>
  <si>
    <t>Извори финансирања за функцију 040:</t>
  </si>
  <si>
    <t>Укупно за функцију 040:</t>
  </si>
  <si>
    <t>Извори финансирања за функцију 070:</t>
  </si>
  <si>
    <t>Укупно за функцију 070:</t>
  </si>
  <si>
    <t>Извори финансирања за раздео 17:</t>
  </si>
  <si>
    <t>УКУПНО ЗА РАЗДЕО 17:</t>
  </si>
  <si>
    <t>Извори финансирања за функцију 910:</t>
  </si>
  <si>
    <t>Укупно за функцију 910:</t>
  </si>
  <si>
    <t>Извори финансирања за функцију 920:</t>
  </si>
  <si>
    <t>Укупно за функцију 920:</t>
  </si>
  <si>
    <t>Извори финансирања за функцију 960:</t>
  </si>
  <si>
    <t>Укупно за функцију 960:</t>
  </si>
  <si>
    <t>ВЛАДА</t>
  </si>
  <si>
    <t>УПРАВНИ ОКРУЗИ</t>
  </si>
  <si>
    <t>- Стручне пољопривредне службе</t>
  </si>
  <si>
    <t>Распоред и коришћење средстава ове апропријације вршиће се по посебном акту Владе</t>
  </si>
  <si>
    <t>- Услуге за спровођење мера здравствене заштите животиња и контрола и надзор заразних болести</t>
  </si>
  <si>
    <t>- Надокнада штете услед убијања и принудног клања и уништавања животиња</t>
  </si>
  <si>
    <t>- Испитивање резидуа и штетних материја код животиња и намирница животињског порекла, анализа узорака производа животињског порекла, храна за животиње и лекова који се употребљавају у ветерини</t>
  </si>
  <si>
    <t>- Програм контроле квалитета и здравствене исправности млека</t>
  </si>
  <si>
    <t>Распоред и коришћење ове апропријације вршиће се по посебном акту Владе</t>
  </si>
  <si>
    <t>Средства ове апропријације намењена су за програме заштите биља, а распоред и коришћење ове апропријације вршиће се по посебном акту Владе</t>
  </si>
  <si>
    <t>Средства ове апропријације намењена су за:</t>
  </si>
  <si>
    <t>- Стручно - техничке послове у приватним шумама</t>
  </si>
  <si>
    <t>- Унапређивање и спровођење мера заштите шума</t>
  </si>
  <si>
    <t>- Развој и унапређење ловства</t>
  </si>
  <si>
    <t>- Извештајно дијагнозно - прогнозне службе</t>
  </si>
  <si>
    <t>Ова апропријација предвиђена је за субвенције ЈП "Железница Србије", а распоред и коришћење средстава вршиће се по посебном акту Владе</t>
  </si>
  <si>
    <t>Ова апропријација предвиђена је за Југословенски регистар бродова унутрашње пловидбе Београд</t>
  </si>
  <si>
    <t>Средства ове апропријације намењена су за Републичку агенцију за просторно планирање</t>
  </si>
  <si>
    <t>Средства ове апропријације намењена су за обнову Колубарског округа погођеног земљотресом, а распоред и коришћење средстава вршиће се по посебном акту Владе</t>
  </si>
  <si>
    <t>Средства ове апропријације намењена су за финансирање Јавног предузећа за подземну експлоатацију угља Ресавица, а распоред и коришћење средстава вршиће се по посебном акту Владе</t>
  </si>
  <si>
    <t>Средства ове апропријације намењена су за програм активне политике запошљавања преко Националне службе за запошљавање, а распоред и коришћење средстава ове апропријације вршиће се по посебном акту Владе</t>
  </si>
  <si>
    <t>Средства ове апропријације намењена су за тзв. "Транзициони фонд", а распоред и коришћење средстава ове апропријације вршиће се по посебном акту Владе</t>
  </si>
  <si>
    <t>Извори финансирања за функцију 940:</t>
  </si>
  <si>
    <t>Укупно за функцију 940:</t>
  </si>
  <si>
    <t>Извори финансирања за функцију 810:</t>
  </si>
  <si>
    <t>Укупно за функцију 810:</t>
  </si>
  <si>
    <t>Извори финансирања за раздео 18:</t>
  </si>
  <si>
    <t>УКУПНО ЗА РАЗДЕО 18:</t>
  </si>
  <si>
    <t>Извори финансирања за функцију 140:</t>
  </si>
  <si>
    <t>Укупно за функцију 140:</t>
  </si>
  <si>
    <t>Извори финансирања за функцију 560:</t>
  </si>
  <si>
    <t>Укупно за функцију 560:</t>
  </si>
  <si>
    <t>Извори финансирања за раздео 19:</t>
  </si>
  <si>
    <t>УКУПНО ЗА РАЗДЕО 19:</t>
  </si>
  <si>
    <t>Извори финансирања за функцију 820:</t>
  </si>
  <si>
    <t>Укупно за функцију 820:</t>
  </si>
  <si>
    <t>Извори финансирања за главу 20.1:</t>
  </si>
  <si>
    <t>Свега за главу 20.1:</t>
  </si>
  <si>
    <t>Извори финансирања за раздео 20:</t>
  </si>
  <si>
    <t>УКУПНО ЗА РАЗДЕО 20:</t>
  </si>
  <si>
    <t>Извори финансирања за раздео 21:</t>
  </si>
  <si>
    <t>УКУПНО ЗА РАЗДЕО 21:</t>
  </si>
  <si>
    <t>15.1</t>
  </si>
  <si>
    <t>Извори финансирања за главу 15.1:</t>
  </si>
  <si>
    <t>Свега за главу 15.1:</t>
  </si>
  <si>
    <t>15.2</t>
  </si>
  <si>
    <t>Извори финансирања за главу 8.1:</t>
  </si>
  <si>
    <t>Свега за главу 8.1:</t>
  </si>
  <si>
    <t>Извори финансирања за главу 13.1:</t>
  </si>
  <si>
    <t>Свега за главу 13.1:</t>
  </si>
  <si>
    <t>МИНИСТАРСТВО ЕКОНОМИЈЕ И РЕГИОНАЛНОГ РАЗВОЈА</t>
  </si>
  <si>
    <t>МИНИСТАРСТВО ЗА ИНФРАСТРУКТУРУ</t>
  </si>
  <si>
    <t>МИНИСТАРСТВО ТРГОВИНЕ И УСЛУГА</t>
  </si>
  <si>
    <t>МИНИСТАРСТВО РАДА И СОЦИЈАЛНЕ ПОЛИТИКЕ</t>
  </si>
  <si>
    <t>МИНИСТАРСТВО ЗАШТИТЕ ЖИВОТНЕ СРЕДИНЕ</t>
  </si>
  <si>
    <t>Укупно:</t>
  </si>
  <si>
    <t>Извори финансирања за главу 23.2:</t>
  </si>
  <si>
    <t>Свега за главу 23.2:</t>
  </si>
  <si>
    <t>МИНИСТАРСТВО ПРОСВЕТЕ</t>
  </si>
  <si>
    <t>МИНИСТАРСТВО ОМЛАДИНЕ И СПОРТА</t>
  </si>
  <si>
    <t>Извори финансирања за главу 24.3:</t>
  </si>
  <si>
    <t>Свега за главу 24.3:</t>
  </si>
  <si>
    <t>Извори финансирања за главу 15.2:</t>
  </si>
  <si>
    <t>Свега за главу 15.2:</t>
  </si>
  <si>
    <t>ДИПЛОМАТСКО-КОНЗУЛАРНА ПРЕДСТАВНИШТВА</t>
  </si>
  <si>
    <t>ВОЈНО-ОБАВЕШТАЈНА СЛУЖБА</t>
  </si>
  <si>
    <r>
      <t xml:space="preserve">Ова апропријација намењена је за финансирање редовног рада политичких странака чији су кандидати изабрани за посланике у Народној скупштини у износу од </t>
    </r>
    <r>
      <rPr>
        <sz val="10"/>
        <rFont val="Arial"/>
        <family val="2"/>
      </rPr>
      <t>247.206.000</t>
    </r>
    <r>
      <rPr>
        <sz val="10"/>
        <rFont val="Arial"/>
        <family val="0"/>
      </rPr>
      <t xml:space="preserve"> динара у складу са одредбама Закона о финансирању политичких странака ("Службени гласник РС", бр. 72/03 и 75/03); средства у износу од 30.500.000 динара намењена су за финансирање националних савета националних мањина; средства за рад Савеза резервних војних старешина у износу од 1.848.000 динара; средства за спровођење изборне кампање у износу од 323.026.000 динара; износ од 400.000 динара намењен је за Удружење породица киднапованих и убијених цивила, војника и полицајаца на Косову и Метохији</t>
    </r>
  </si>
  <si>
    <t>Део средстава ове апропријације у износу од 18.047.000 динара намењен је за врхунска уметничка остварења у свим областима уметности, програме Културно-просветне заједнице Србије и за откуп књига за библиотечку делатност у Републици Србији; износ од 72.250.000 динара намењен је за одржавање Дворског комплекса Бели Двор на Дедињу; износ од 41.790.000 динара намењен је за стимулацију филмске производње и подршку производњи српског филма; износ од 13.508.000 динара намењен је за програме у области међународне сарадње, народног стваралаштва и стваралаштва националних мањина; износ од 544.000 динара намењен је за реализацију Регионалног програма за културно и природно наслеђе југоисточне Европе; износ од 1.000.000 динара намењен за обележавање Дана државности; износ од 4.956.000 динара намењен је за реализацију Конкурса из области информисања; износ од 21.000.000 динара намењен је за финансирање организације Међународног филмског фестивала ауторског филма на Мећавнику; износ од 80.000.000 динара намењен је за учешће у финансирању производње дугометражног играног филма "Свети Георгије убија аждаху"; износ од 80.000.000
динара намењен је за набавку инструмената за ансамбле Музичке 
продукције Јавног сервиса радио телевизије Србије; износ од 
19.100.000 динара намењен је за Дворану Задужбине Илије М. 
Коларца; износ од 3.330.000 динара намењен је за откуп слика за 
Историјски музеј Србије; износ од 2.000.000 динара намењен је за 
финансирање наставка снимања филма "На лепом плавом 
Дунаву"; износ од 12.500.000 динара намењен је за учешће на 
Бијеналу у Венецији; износ од 3.000.000 динара намењен је за 
Национални филмски фестивал у Новом Саду; износ од 4.000.000 
динара намењен је за презентацију домаћег филма на 
Међународном филмском фестивалу у Кану; износ од 43.926.000 
динара намењен је за програме и пројекте у култури који ће се 
користити по посебном акту Владе</t>
  </si>
  <si>
    <t>ДИРЕКЦИЈА ЗА УНУТРАШЊЕ ПЛОВНЕ ПУТЕВЕ „ПЛОВПУТ”</t>
  </si>
  <si>
    <t>ДРЖАВНИ ОРГАНИ И ОРГАНИЗАЦИЈЕ КОЈИ СУ ПРЕСТАЛИ СА РАДОМ 15. МАЈА 2007. ГОДИНЕ</t>
  </si>
  <si>
    <t>Извори финансирања за главу 26.1:</t>
  </si>
  <si>
    <t>Свега за главу 26.1:</t>
  </si>
  <si>
    <t>МИНИСТАРСТВО ЗА КОСОВО И МЕТОХИЈУ</t>
  </si>
  <si>
    <t>ИНСПЕКТОРАТ ОДБРАНЕ</t>
  </si>
  <si>
    <t>Накнаде за запослене</t>
  </si>
  <si>
    <t>Награде, бонуси и остали посебни расходи</t>
  </si>
  <si>
    <t>Текуће поправке и одржавање (услуге и материјали)</t>
  </si>
  <si>
    <t>ВОЈНА СЛУЖБА БЕЗБЕДНОСТИ</t>
  </si>
  <si>
    <t>9.2</t>
  </si>
  <si>
    <t>Извори финансирања за главу 9.2:</t>
  </si>
  <si>
    <t>9.3</t>
  </si>
  <si>
    <t>Извори финансирања за главу 9.3:</t>
  </si>
  <si>
    <t>Извори финансирања за раздео 57:</t>
  </si>
  <si>
    <t>УКУПНО ЗА РАЗДЕО 57:</t>
  </si>
  <si>
    <t>Извори финансирања за раздео 58:</t>
  </si>
  <si>
    <t>УКУПНО ЗА РАЗДЕО 58:</t>
  </si>
  <si>
    <t>Извори финансирања за главу 59.1:</t>
  </si>
  <si>
    <t>Свега за главу 59.1:</t>
  </si>
  <si>
    <t>Извори финансирања за главу 59.2:</t>
  </si>
  <si>
    <t>Свега за главу 59.2:</t>
  </si>
  <si>
    <t>Извори финансирања за главу 59.3:</t>
  </si>
  <si>
    <t>Свега за главу 59.3:</t>
  </si>
  <si>
    <t>Извори финансирања за главу 59.4:</t>
  </si>
  <si>
    <t>Свега за главу 59.4:</t>
  </si>
  <si>
    <t>Извори финансирања за главу 59.5:</t>
  </si>
  <si>
    <t>Свега за главу 59.5:</t>
  </si>
  <si>
    <t>Извори финансирања за главу 59.6:</t>
  </si>
  <si>
    <t>Свега за главу 59.6:</t>
  </si>
  <si>
    <t>59.10</t>
  </si>
  <si>
    <t>59.11</t>
  </si>
  <si>
    <t>59.12</t>
  </si>
  <si>
    <t>59.13</t>
  </si>
  <si>
    <t>59.14</t>
  </si>
  <si>
    <t>59.15</t>
  </si>
  <si>
    <t>59.16</t>
  </si>
  <si>
    <t>59.17</t>
  </si>
  <si>
    <t>59.18</t>
  </si>
  <si>
    <t>59.19</t>
  </si>
  <si>
    <t>59.20</t>
  </si>
  <si>
    <t>59.21</t>
  </si>
  <si>
    <t>59.22</t>
  </si>
  <si>
    <t>59.23</t>
  </si>
  <si>
    <t>59.24</t>
  </si>
  <si>
    <t>59.25</t>
  </si>
  <si>
    <t>59.26</t>
  </si>
  <si>
    <t>59.27</t>
  </si>
  <si>
    <t>59.28</t>
  </si>
  <si>
    <t>59.29</t>
  </si>
  <si>
    <t>ДИРЕКЦИЈА ЗА МЕРЕ И ДРАГОЦЕНЕ МЕТАЛЕ</t>
  </si>
  <si>
    <t>МИНИСТАРСТВО НАУКЕ</t>
  </si>
  <si>
    <t>ИНСПЕКТОРАТ ЗА РАД</t>
  </si>
  <si>
    <t>Средства ове апропријације намењена су за стамбене кредите</t>
  </si>
  <si>
    <t>Средства ове апропријације намењена су трансферима општинама и градовима</t>
  </si>
  <si>
    <t>Средства ове апропријације намењена су за извршење обавеза по уговору о преносу опреме ЈП ПТТ саобраћаја "Србија" на Републику Србију за оснивачки улог у Привредном друштву "МОБИ 63" д.о.о. Београд</t>
  </si>
  <si>
    <t>- Субвенције за унапређење пољопривреде</t>
  </si>
  <si>
    <t>Извори финансирања за функцију 470:</t>
  </si>
  <si>
    <t>Укупно за функцију 470:</t>
  </si>
  <si>
    <t>Извори финансирања за раздео 44:</t>
  </si>
  <si>
    <t>УКУПНО ЗА РАЗДЕО 44:</t>
  </si>
  <si>
    <t>Извори финансирања за раздео 45:</t>
  </si>
  <si>
    <t>УКУПНО ЗА РАЗДЕО 45:</t>
  </si>
  <si>
    <t>Извори финансирања за функцију 510:</t>
  </si>
  <si>
    <t>Укупно за функцију 510:</t>
  </si>
  <si>
    <t>Извори финансирања за раздео 46:</t>
  </si>
  <si>
    <t>УКУПНО ЗА РАЗДЕО 46:</t>
  </si>
  <si>
    <t>Извори финансирања за раздео 47: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</si>
  <si>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</si>
  <si>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</si>
  <si>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</si>
  <si>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</si>
  <si>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Текуће поправке и одржавање</t>
  </si>
  <si>
    <t>Амортизација некретнина и опреме</t>
  </si>
  <si>
    <t>Употреба природне имовине</t>
  </si>
  <si>
    <t>Отплата домаћих камата</t>
  </si>
  <si>
    <t>Отплата камата по гаранцијама</t>
  </si>
  <si>
    <t>Донације и 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</si>
  <si>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</si>
  <si>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</si>
  <si>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Донације невладиним организацијама</t>
  </si>
  <si>
    <t>Порези, обавезне таксе и казне</t>
  </si>
  <si>
    <t>Новчане казне и пенали по решењу судова</t>
  </si>
  <si>
    <t>515</t>
  </si>
  <si>
    <t>Нематеријална имовина</t>
  </si>
  <si>
    <t>УКУПНО ЗА РАЗДЕО 47:</t>
  </si>
  <si>
    <t>Извори финансирања за раздео 48:</t>
  </si>
  <si>
    <t>УКУПНО ЗА РАЗДЕО 48:</t>
  </si>
  <si>
    <t>Извори финансирања за раздео 49:</t>
  </si>
  <si>
    <t>УКУПНО ЗА РАЗДЕО 49:</t>
  </si>
  <si>
    <t>Извори финансирања за раздео 50:</t>
  </si>
  <si>
    <t>УКУПНО ЗА РАЗДЕО 50:</t>
  </si>
  <si>
    <t>Извори финансирања за раздео 51:</t>
  </si>
  <si>
    <t>УКУПНО ЗА РАЗДЕО 51:</t>
  </si>
  <si>
    <t>Извори финансирања за раздео 52:</t>
  </si>
  <si>
    <t>УКУПНО ЗА РАЗДЕО 52:</t>
  </si>
  <si>
    <t>УКУПНО ЗА РАЗДЕО 53:</t>
  </si>
  <si>
    <t>Извори финансирања за раздео 54:</t>
  </si>
  <si>
    <t>УКУПНО ЗА РАЗДЕО 54:</t>
  </si>
  <si>
    <t>Извори финансирања за раздео 55:</t>
  </si>
  <si>
    <t>УКУПНО ЗА РАЗДЕО 55:</t>
  </si>
  <si>
    <t>Извори финансирања за главу 56.29:</t>
  </si>
  <si>
    <t>Извори финансирања за раздео 56:</t>
  </si>
  <si>
    <t>УКУПНО ЗА РАЗДЕО 56: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</si>
  <si>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</si>
  <si>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</si>
  <si>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УПРАВА ЗА БЕЗБЕДНОСТ И ЗДРАВЉЕ НА РАДУ</t>
  </si>
  <si>
    <t>МИНИСТАРСТВО ПРОСВЕТЕ И СПОРТА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</si>
  <si>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</si>
  <si>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</si>
  <si>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</si>
  <si>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</si>
  <si>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</si>
  <si>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УПРАВА ЗА СПОРТ</t>
  </si>
  <si>
    <t>ЗАВОД ЗА УНАПРЕЂИВАЊЕ ОБРАЗОВАЊА И ВАСПИТАЊА</t>
  </si>
  <si>
    <t>БУЏЕТСКИ ФОНД ЗА ФИНАНСИРАЊЕ СПОРТА</t>
  </si>
  <si>
    <t>АНТИДОПИНГ АГЕНЦИЈА РЕПУБЛИКЕ СРБИЈЕ</t>
  </si>
  <si>
    <t>МИНИСТАРСТВО НАУКЕ И ЗАШТИТЕ ЖИВОТНЕ СРЕДИНЕ</t>
  </si>
  <si>
    <t>УПРАВА ЗА ЗАШТИТУ ЖИВОТНЕ СРЕДИНЕ</t>
  </si>
  <si>
    <t>АГЕНЦИЈА ЗА ЗАШТИТУ ЖИВОТНЕ СРЕДИНЕ</t>
  </si>
  <si>
    <t>ФОНД ЗА ЗАШТИТУ ЖИВОТНЕ СРЕДИНЕ</t>
  </si>
  <si>
    <t>МИНИСТАРСТВО КУЛТУРЕ</t>
  </si>
  <si>
    <t>20.1</t>
  </si>
  <si>
    <t>УСТАНОВЕ КУЛТУРЕ</t>
  </si>
  <si>
    <t>23.1</t>
  </si>
  <si>
    <t>ЗАВОД ЗА МЕРЕ И ДРАГОЦЕНЕ МЕТАЛЕ</t>
  </si>
  <si>
    <t>МИНИСТАРСТВО ТРГОВИНЕ, ТУРИЗМА И УСЛУГА</t>
  </si>
  <si>
    <t>24.1</t>
  </si>
  <si>
    <t>РЕПУБЛИЧКА ДИРЕКЦИЈА ЗА РОБНЕ РЕЗЕРВЕ</t>
  </si>
  <si>
    <t>24.2</t>
  </si>
  <si>
    <t>ФОНД ЗА РАЗВОЈ ТУРИЗМА</t>
  </si>
  <si>
    <t>МИНИСТАРСТВО ЗДРАВЉА</t>
  </si>
  <si>
    <t>МИНИСТАРСТВО ВЕРА</t>
  </si>
  <si>
    <t>Извори финансирања за функцију 112:</t>
  </si>
  <si>
    <t>Укупно за функцију 112:</t>
  </si>
  <si>
    <t>Извори финансирања за функцију 421:</t>
  </si>
  <si>
    <t>Укупно за функцију 421:</t>
  </si>
  <si>
    <t>Средства ове апропријације намењена су за Институт за међународну политику и привреду</t>
  </si>
  <si>
    <t>513</t>
  </si>
  <si>
    <t>Остале некретнине и опрема</t>
  </si>
  <si>
    <t>Извори финансирања за главу 14.1:</t>
  </si>
  <si>
    <t>Свега за главу 14.1:</t>
  </si>
  <si>
    <t>Извори финансирања за функцију 630:</t>
  </si>
  <si>
    <t>Укупно за функцију 630:</t>
  </si>
  <si>
    <t>Извори финансирања за раздео 14:</t>
  </si>
  <si>
    <t>УКУПНО ЗА РАЗДЕО 14:</t>
  </si>
  <si>
    <t>Извори финансирања за функцију 460:</t>
  </si>
  <si>
    <t>Укупно за функцију 460:</t>
  </si>
  <si>
    <t>Извори финансирања за функцију 620:</t>
  </si>
  <si>
    <t>Укупно за функцију 620:</t>
  </si>
  <si>
    <t>Извори финансирања за раздео 15:</t>
  </si>
  <si>
    <t>УКУПНО ЗА РАЗДЕО 15:</t>
  </si>
  <si>
    <t>Извори финансирања за функцију 430:</t>
  </si>
  <si>
    <t>Средства ове апропријације намењена су за обавезни припремни предшколски програм пред полазак у школу</t>
  </si>
  <si>
    <t>РЕПУБЛИЧКИ СЕКРЕТАРИЈАТ ЗА ЗАКОНОДАВСТВО</t>
  </si>
  <si>
    <t>БЕЗБЕДНОСНО ИНФОРМАТИВНА АГЕНЦИЈА</t>
  </si>
  <si>
    <t>РЕПУБЛИЧКИ ЗАВОД ЗА РАЗВОЈ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</si>
  <si>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</si>
  <si>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</si>
  <si>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</si>
  <si>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</si>
  <si>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</si>
  <si>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РЕПУБЛИЧКИ ЗАВОД ЗА ИНФОРМАТИКУ И ИНТЕРНЕТ</t>
  </si>
  <si>
    <t>ЦЕНТАР ЗА РАЗМИНИРАЊЕ</t>
  </si>
  <si>
    <t>СРПСКА АКАДЕМИЈА НАУКА И УМЕТНОСТИ</t>
  </si>
  <si>
    <t>УПРАВА ЗА ЈАВНЕ НАБАВКЕ</t>
  </si>
  <si>
    <t>КОМИСИЈА ЗА ИСПИТИВАЊЕ ОДГОВОРНОСТИ ЗА КРШЕЊЕ ЉУДСКИХ ПРАВА</t>
  </si>
  <si>
    <t>ЗАВОД ЗА СОЦИЈАЛНО ОСИГУРАЊЕ</t>
  </si>
  <si>
    <t>АГЕНЦИЈА ЗА РУДАРСТВО</t>
  </si>
  <si>
    <t>ГЕОМАГНЕТСКИ ЗАВОД</t>
  </si>
  <si>
    <t>АГЕНЦИЈА ЗА РАЗВОЈ ИНФРАСТРУКТУРЕ ЛОКАЛНЕ САМОУПРАВЕ</t>
  </si>
  <si>
    <t>АГЕНЦИЈА ЗА СТРАНА УЛАГАЊА И ПРОМОЦИЈУ ИЗВОЗА</t>
  </si>
  <si>
    <t>АГЕНЦИЈА ЗА РЕЦИКЛАЖУ</t>
  </si>
  <si>
    <t>АГЕНЦИЈА ЗА ЕНЕРГЕТСКУ ЕФИКАСНОСТ</t>
  </si>
  <si>
    <t>ЗАВОД ЗА ИНТЕЛЕКТУАЛНУ СВОЈИНУ</t>
  </si>
  <si>
    <t>КОМЕСАРИЈАТ ЗА ИЗБЕГЛИЦЕ</t>
  </si>
  <si>
    <t>РЕПУБЛИЧКИ ОДБОР ЗА РЕШАВАЊЕ О СУКОБУ ИНТЕРЕСА</t>
  </si>
  <si>
    <t>ПОВЕРЕНИК ЗА ИНФОРМАЦИЈЕ ОД ЈАВНОГ ЗНАЧАЈА</t>
  </si>
  <si>
    <t>ДИРЕКЦИЈА ЗА РЕСТИТУЦИЈУ</t>
  </si>
  <si>
    <t>ДИРЕКЦИЈА ЗА ЖЕЛЕЗНИЦУ</t>
  </si>
  <si>
    <t>РЕПУБЛИЧКА АГЕНЦИЈА ЗА МИРНО РЕШАВАЊЕ РАДНИХ СПОРОВА</t>
  </si>
  <si>
    <t>УПРАВА ЗА ЗАЈЕДНИЧКЕ ПОСЛОВЕ РЕПУБЛИЧКИХ ОРГАНА</t>
  </si>
  <si>
    <t>СЕВЕРНОБАЧКИ УПРАВНИ ОКРУГ</t>
  </si>
  <si>
    <t>СРЕДЊЕБАНАТСКИ УПРАВНИ ОКРУГ</t>
  </si>
  <si>
    <t>СЕВЕРНОБАНАТСКИ УПРАВНИ ОКРУГ</t>
  </si>
  <si>
    <t>ЈУЖНОБАНАТСКИ  УПРАВНИ ОКРУГ</t>
  </si>
  <si>
    <t>ЗАПАДНОБАЧКИ УПРАВНИ ОКРУГ</t>
  </si>
  <si>
    <t>СРЕМСКИ УПРАВНИ ОКРУГ</t>
  </si>
  <si>
    <t>ЈУЖНОБАЧКИ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</si>
  <si>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</si>
  <si>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</si>
  <si>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</si>
  <si>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</si>
  <si>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</si>
  <si>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</si>
  <si>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</si>
  <si>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</si>
  <si>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</si>
  <si>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</si>
  <si>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</si>
  <si>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</si>
  <si>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</si>
  <si>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</si>
  <si>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</si>
  <si>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</si>
  <si>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</si>
  <si>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</si>
  <si>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</si>
  <si>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</si>
  <si>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КОСОВСКОМИТРОВАЧКИ УПРАВНИ ОКРУГ</t>
  </si>
  <si>
    <t>КОСОВСКОПОМОРАВСКИ УПРАВНИ ОКРУГ</t>
  </si>
  <si>
    <t>Извори финансирања за функцију 110:</t>
  </si>
  <si>
    <t>Укупно за функцију 110:</t>
  </si>
  <si>
    <t>Извори финансирања:</t>
  </si>
  <si>
    <t>Свега:</t>
  </si>
  <si>
    <t>Извори финансирања за функцију 130:</t>
  </si>
  <si>
    <t>Укупно за функцију 130:</t>
  </si>
  <si>
    <t>Извори финансирања за главу 1.1:</t>
  </si>
  <si>
    <t>Свега за главу 1.1:</t>
  </si>
  <si>
    <t>Извори финансирања за раздео 1:</t>
  </si>
  <si>
    <t>УКУПНО ЗА РАЗДЕО 1:</t>
  </si>
  <si>
    <t>Извори финансирања за функцију 133:</t>
  </si>
  <si>
    <t>Укупно за функцију 133:</t>
  </si>
  <si>
    <t>Извори финансирања за раздео 2:</t>
  </si>
  <si>
    <t>УКУПНО ЗА РАЗДЕО 2:</t>
  </si>
  <si>
    <t>Извори финансирања за главу 3.1:</t>
  </si>
  <si>
    <t>Свега за главу 3.1:</t>
  </si>
  <si>
    <t>МИНИСТАРСТВО ЗА ТЕЛЕКОМУНИКАЦИЈЕ И ИНФОРМАТИЧКО ДРУШТВО</t>
  </si>
  <si>
    <t>Извори финансирања за главу 3.2:</t>
  </si>
  <si>
    <t>Свега за главу 3.2:</t>
  </si>
  <si>
    <t>Извори финансирања за главу 3.3:</t>
  </si>
  <si>
    <t>Свега за главу 3.3:</t>
  </si>
  <si>
    <t>Извори финансирања за главу 3.4:</t>
  </si>
  <si>
    <t>Свега за главу 3.4:</t>
  </si>
  <si>
    <t>Извори финансирања за главу 3.5:</t>
  </si>
  <si>
    <t>Свега за главу 3.5:</t>
  </si>
  <si>
    <t>Извори финансирања за раздео 22:</t>
  </si>
  <si>
    <t>УКУПНО ЗА РАЗДЕО 22:</t>
  </si>
  <si>
    <t>Извори финансирања за главу 23.1:</t>
  </si>
  <si>
    <t>Свега за главу 23.1:</t>
  </si>
  <si>
    <t>Извори финансирања за раздео 23:</t>
  </si>
  <si>
    <t>УКУПНО ЗА РАЗДЕО 23:</t>
  </si>
  <si>
    <t>Извори финансирања за функцију 490:</t>
  </si>
  <si>
    <t>Неутрошена средства донација из претходних година</t>
  </si>
  <si>
    <t>УПРАВА ЗА ПОЉОПРИВРЕДНО ЗЕМЉИШТЕ</t>
  </si>
  <si>
    <t>БУЏЕТСКИ ФОНД ЗА ПРОГРАМЕ СПРЕЧАВАЊА БОЛЕСТИ ИЗАЗВАНИХ КОНЗУМИРАЊЕМ ДУВАНА</t>
  </si>
  <si>
    <t>Део средстава ове апропријације у износу од 40.000.000 динара намењен је за финансирање обнове Хиландара и износ од 14.000.000 динара намењен је за рад уметничких удружења</t>
  </si>
  <si>
    <t>Средства ове апропријације намењена су за финансирање рада Матице Српске</t>
  </si>
  <si>
    <t>Део средстава ове апропријације у износу од 1.875.000 динара намењен је реконструкцији Природњачког музеја у Београду и износ од 1.000.000 динара за Музеј на отвореном "Старо село", Сирогојно</t>
  </si>
  <si>
    <t>Средства ове апропријације намењена су за програм Кредитна подршка привреди преко Фонда за развој, а распоред и коришћење средстава вршиће се по посебном акту Владе</t>
  </si>
  <si>
    <t>Средства ове апропријације намењена су за кредитирање давања у лизинг домаћих машина и опреме, а распоред и коришћење средстава вршиће се по посебном акту Владе</t>
  </si>
  <si>
    <t>Укупно за функцију 490:</t>
  </si>
  <si>
    <t>Извори финансирања за главу 24.1:</t>
  </si>
  <si>
    <t>Свега за главу 24.1:</t>
  </si>
  <si>
    <t>Извори финансирања за функцију 473:</t>
  </si>
  <si>
    <t>Укупно за функцију 473:</t>
  </si>
  <si>
    <t>Извори финансирања за главу 24.2:</t>
  </si>
  <si>
    <t>Свега за главу 24.2:</t>
  </si>
  <si>
    <t>Извори финансирања за раздео 24:</t>
  </si>
  <si>
    <t>УКУПНО ЗА РАЗДЕО 24:</t>
  </si>
  <si>
    <t>Извори финансирања за раздео 25:</t>
  </si>
  <si>
    <t>УКУПНО ЗА РАЗДЕО 25:</t>
  </si>
  <si>
    <t>Извори финансирања за функцију 840:</t>
  </si>
  <si>
    <t>Укупно за функцију 840:</t>
  </si>
  <si>
    <t>Извори финансирања за раздео 26:</t>
  </si>
  <si>
    <t>УКУПНО ЗА РАЗДЕО 26:</t>
  </si>
  <si>
    <t>Извори финансирања за раздео 27:</t>
  </si>
  <si>
    <t>УКУПНО ЗА РАЗДЕО 27:</t>
  </si>
  <si>
    <t>УКУПНО ЗА РАЗДЕО 28:</t>
  </si>
  <si>
    <t>Извори финансирања за раздео 29:</t>
  </si>
  <si>
    <t>УКУПНО ЗА РАЗДЕО 29:</t>
  </si>
  <si>
    <t>Извори финансирања за раздео 30:</t>
  </si>
  <si>
    <t>УКУПНО ЗА РАЗДЕО 30:</t>
  </si>
  <si>
    <t>Извори финансирања за раздео 31:</t>
  </si>
  <si>
    <t>УКУПНО ЗА РАЗДЕО 31:</t>
  </si>
  <si>
    <t>УКУПНО ЗА РАЗДЕО 32:</t>
  </si>
  <si>
    <t>Извори финансирања за раздео 33:</t>
  </si>
  <si>
    <t>УКУПНО ЗА РАЗДЕО 33:</t>
  </si>
  <si>
    <t>Извори финансирања за раздео 34:</t>
  </si>
  <si>
    <t>УКУПНО ЗА РАЗДЕО 34:</t>
  </si>
  <si>
    <t>Извори финансирања за раздео 35:</t>
  </si>
  <si>
    <t>УКУПНО ЗА РАЗДЕО 35:</t>
  </si>
  <si>
    <t>Извори финансирања за функцију 250:</t>
  </si>
  <si>
    <t>Укупно за функцију 250:</t>
  </si>
  <si>
    <t>Извори финансирања за раздео 36:</t>
  </si>
  <si>
    <t>УКУПНО ЗА РАЗДЕО 36:</t>
  </si>
  <si>
    <t>Извори финансирања за раздео 37:</t>
  </si>
  <si>
    <t>УКУПНО ЗА РАЗДЕО 37:</t>
  </si>
  <si>
    <t>Извори финансирања за раздео 38:</t>
  </si>
  <si>
    <t>УКУПНО ЗА РАЗДЕО 38:</t>
  </si>
  <si>
    <t>Извори финансирања за раздео 39:</t>
  </si>
  <si>
    <t>УКУПНО ЗА РАЗДЕО 39:</t>
  </si>
  <si>
    <t>Извори финансирања за раздео 40:</t>
  </si>
  <si>
    <t>УКУПНО ЗА РАЗДЕО 40:</t>
  </si>
  <si>
    <t>Извори финансирања за раздео 41:</t>
  </si>
  <si>
    <t>УКУПНО ЗА РАЗДЕО 41:</t>
  </si>
  <si>
    <t>Извори финансирања за раздео 42:</t>
  </si>
  <si>
    <t>УКУПНО ЗА РАЗДЕО 42:</t>
  </si>
  <si>
    <t>Извори финансирања за раздео 43:</t>
  </si>
  <si>
    <t>УКУПНО ЗА РАЗДЕО 43:</t>
  </si>
  <si>
    <t>ВРХОВНИ СУД СРБИЈЕ</t>
  </si>
  <si>
    <t>5.2</t>
  </si>
  <si>
    <t>ВИШИ ТРГОВИНСКИ СУД</t>
  </si>
  <si>
    <t>5.3</t>
  </si>
  <si>
    <t>РЕПУБЛИЧКО ЈАВНО ТУЖИЛАШТВО</t>
  </si>
  <si>
    <t>5.4</t>
  </si>
  <si>
    <t>ТУЖИЛАШТВО ЗА РАТНЕ ЗЛОЧИНЕ</t>
  </si>
  <si>
    <t>5.5</t>
  </si>
  <si>
    <t>РЕПУБЛИЧКО ЈАВНО ПРАВОБРАНИЛАШТВО</t>
  </si>
  <si>
    <t>5.6</t>
  </si>
  <si>
    <t>ОКРУЖНИ СУДОВИ</t>
  </si>
  <si>
    <t>5.7</t>
  </si>
  <si>
    <t>ОПШТИНСКИ СУДОВИ</t>
  </si>
  <si>
    <t>5.8</t>
  </si>
  <si>
    <t>ТРГОВИНСКИ СУДОВИ</t>
  </si>
  <si>
    <t>5.9</t>
  </si>
  <si>
    <t>ОКРУЖНА ЈАВНА ТУЖИЛАШТВА</t>
  </si>
  <si>
    <t>5.10</t>
  </si>
  <si>
    <t>ОПШТИНСКА ЈАВНА ТУЖИЛАШТВА</t>
  </si>
  <si>
    <t>5.11</t>
  </si>
  <si>
    <t>ВЕЋА ЗА ПРЕКРШАЈЕ</t>
  </si>
  <si>
    <t>5.12</t>
  </si>
  <si>
    <t>ОПШТИНСКИ ОРГАНИ ЗА ПРЕКРШАЈЕ</t>
  </si>
  <si>
    <t>6</t>
  </si>
  <si>
    <t>ЗАШТИТНИК ГРАЂАНА</t>
  </si>
  <si>
    <t>7</t>
  </si>
  <si>
    <t>ДРЖАВНА РЕВИЗОРСКА ИНСТИТУЦИЈА</t>
  </si>
  <si>
    <t>Средства ове апропријације у износу од 44.569.000.000 динара користиће се за трансфер Републичком фонду за пензијско и инвалидско осигурање запослених; износ од 2.136.200.000 динара користиће се за трансфер Републичком фонду за пензијско и инвалидско осигурање пољопривредника; износ од 4.650.000.000 динара за трансфер Националној служби за запошљавање</t>
  </si>
  <si>
    <t>Средства ове апропријације намењена су за исплату "националних пензија" за истакнуте уметнике, а распоред и коришћење ове апропријације вршиће се по посебном акту Владе</t>
  </si>
  <si>
    <t>Ова апропријација обухвата средства намењена за сталну резерву у износу од 681.000 динара и средства текуће резерве у износу од 440.000.000 динара</t>
  </si>
  <si>
    <t>БУЏЕТСКИ ФОНД ЗА ПРОГРАМЕ СОЦИЈАЛНО - ХУМАНИТАРНИХ ОРГАНИЗАЦИЈА</t>
  </si>
  <si>
    <t>Средства ове апропријације намењена су на име учешћа Републике у коришћењу ИДА кредита - Пројекат развој школства у Републици Србији и за накнаде члановима Национално - просветног савета и за Национални савет за високо образовање</t>
  </si>
  <si>
    <t xml:space="preserve">Део средстава ове апропријације у изосу од 17.202.500 динара намењен је за НИП "Панорама" Приштина; износ од 50.000.000 динара намењен је за Републичку радиодифузну агенцију; износ од 16.000.000 динара намењен је за Новинско - издавачку установу "Братство" </t>
  </si>
  <si>
    <t>Средства ове апропријације намењена су за организације српских мањина у земљама окружења (некадашње СФРЈ), европским земљама и прекоокенским земљама, невладиним организацијама, удружењима чије је седиште у земљи; активност намењена дијаспори; Одбору за стандардизацију српског језика; годишње смотре фолклора дијаспоре; износ од 3.900.000 динара намењен је за Матицу Срба и исељеника Србије, као и за друге активности</t>
  </si>
  <si>
    <t>Део средстава ове апропријације у износу од 1.100.000 динара намењен је за Институт за стандардизацију</t>
  </si>
  <si>
    <t>Део средстава ове апропријације у износу од 1.250.000 динара намењен је за Комисију за заштиту конкуренције</t>
  </si>
  <si>
    <t>Ова апропријација намењена је за измиривање обавеза Републике за стаж осигурања по посебним прописима; за надокнаду разлике до минималне пензије за Републички фонд за пензијско и инвалидско осигурање запослених и за Републички фонд за пензијско и инвалидско осигурање пољопривредника</t>
  </si>
  <si>
    <t>Средства ове апропријације намењена су за програм рехабилитације и запошљавања лица са инвалидитетом, а распоред и коришћење вршиће се по посебном акту Владе</t>
  </si>
  <si>
    <t>Издаци из додатних
прихода органа</t>
  </si>
  <si>
    <t>3.8</t>
  </si>
  <si>
    <t>Извори финансирања за главу 3.8:</t>
  </si>
  <si>
    <t>Свега за главу 3.8:</t>
  </si>
  <si>
    <t>Свега за главу 9.1:</t>
  </si>
  <si>
    <t>Свега за главу 9.2:</t>
  </si>
  <si>
    <t>Свега за главу 9.3:</t>
  </si>
  <si>
    <t>12.1</t>
  </si>
  <si>
    <t>12.2</t>
  </si>
  <si>
    <t>Извори финансирања за главу 12.2:</t>
  </si>
  <si>
    <t>Свега за главу 12.2:</t>
  </si>
  <si>
    <t>12.3</t>
  </si>
  <si>
    <t>Извори финансирања за главу 12.3:</t>
  </si>
  <si>
    <t>Свега за главу 12.3:</t>
  </si>
  <si>
    <t>12.4</t>
  </si>
  <si>
    <t>Извори финансирања за главу 12.4:</t>
  </si>
  <si>
    <t>Свега за главу 12.4:</t>
  </si>
  <si>
    <t>12.5</t>
  </si>
  <si>
    <t>Извори финансирања за главу 12.5:</t>
  </si>
  <si>
    <t>Свега за главу 12.5:</t>
  </si>
  <si>
    <t>12.6</t>
  </si>
  <si>
    <t>Извори финансирања за главу 12.6:</t>
  </si>
  <si>
    <t>Свега за главу 12.6:</t>
  </si>
  <si>
    <t>12.7</t>
  </si>
  <si>
    <t>Извори финансирања за главу 12.7:</t>
  </si>
  <si>
    <t>Свега за главу 12.7:</t>
  </si>
  <si>
    <t>12.8</t>
  </si>
  <si>
    <t>Извори финансирања за главу 12.8:</t>
  </si>
  <si>
    <t>Свега за главу 12.8:</t>
  </si>
  <si>
    <t>65.4</t>
  </si>
  <si>
    <t>65.3</t>
  </si>
  <si>
    <t>65.2</t>
  </si>
  <si>
    <t>65.1</t>
  </si>
  <si>
    <t>64.1</t>
  </si>
  <si>
    <t>63.3</t>
  </si>
  <si>
    <t>63.2</t>
  </si>
  <si>
    <t>63.1</t>
  </si>
  <si>
    <t>59.9</t>
  </si>
  <si>
    <t>59.8</t>
  </si>
  <si>
    <t>59.7</t>
  </si>
  <si>
    <t>59.6</t>
  </si>
  <si>
    <t>59.5</t>
  </si>
  <si>
    <t>59.4</t>
  </si>
  <si>
    <t>59.3</t>
  </si>
  <si>
    <t>59.2</t>
  </si>
  <si>
    <t>59.1</t>
  </si>
  <si>
    <t>12.9</t>
  </si>
  <si>
    <t>Извори финансирања за главу 12.9:</t>
  </si>
  <si>
    <t>Свега за главу 12.9:</t>
  </si>
  <si>
    <t>13.1</t>
  </si>
  <si>
    <t>15.3</t>
  </si>
  <si>
    <t>Извори финансирања за главу 15.3:</t>
  </si>
  <si>
    <t>Свега за главу 15.3:</t>
  </si>
  <si>
    <t>15.4</t>
  </si>
  <si>
    <t>Извори финансирања за главу 15.4:</t>
  </si>
  <si>
    <t>Свега за главу 15.4:</t>
  </si>
  <si>
    <t>15.5</t>
  </si>
  <si>
    <t>Извори финансирања за главу 15.5:</t>
  </si>
  <si>
    <t>Свега за главу 15.5:</t>
  </si>
  <si>
    <t>16.1</t>
  </si>
  <si>
    <t>Извори финансирања за главу 16.1:</t>
  </si>
  <si>
    <t>Свега за главу 16.1:</t>
  </si>
  <si>
    <t>16.2</t>
  </si>
  <si>
    <t>Извори финансирања за главу 16.2:</t>
  </si>
  <si>
    <t>Свега за главу 16.2:</t>
  </si>
  <si>
    <t>21.1</t>
  </si>
  <si>
    <t>Извори финансирања за главу 21.1:</t>
  </si>
  <si>
    <t>Свега за главу 21.1:</t>
  </si>
  <si>
    <t>21.2</t>
  </si>
  <si>
    <t>Извори финансирања за главу 21.2:</t>
  </si>
  <si>
    <t>Свега за главу 21.2:</t>
  </si>
  <si>
    <t>21.3</t>
  </si>
  <si>
    <t>Извори финансирања за главу 21.3:</t>
  </si>
  <si>
    <t>Свега за главу 21.3:</t>
  </si>
  <si>
    <t>21.4</t>
  </si>
  <si>
    <t>Извори финансирања за главу 21.4:</t>
  </si>
  <si>
    <t>Свега за главу 21.4:</t>
  </si>
  <si>
    <t>21.5</t>
  </si>
  <si>
    <t>Извори финансирања за главу 21.5:</t>
  </si>
  <si>
    <t>Свега за главу 21.5:</t>
  </si>
  <si>
    <t>23.2</t>
  </si>
  <si>
    <t>24.3</t>
  </si>
  <si>
    <t>24.4</t>
  </si>
  <si>
    <t>Извори финансирања за главу 24.4:</t>
  </si>
  <si>
    <t>Свега за главу 24.4:</t>
  </si>
  <si>
    <t>24.5</t>
  </si>
  <si>
    <t>Извори финансирања за главу 24.5:</t>
  </si>
  <si>
    <t>Свега за главу 24.5:</t>
  </si>
  <si>
    <t>24.6</t>
  </si>
  <si>
    <t>Извори финансирања за главу 24.6:</t>
  </si>
  <si>
    <t>Свега за главу 24.6:</t>
  </si>
  <si>
    <t>24.7</t>
  </si>
  <si>
    <t>Извори финансирања за главу 24.7:</t>
  </si>
  <si>
    <t>Свега за главу 24.7:</t>
  </si>
  <si>
    <t>25.1</t>
  </si>
  <si>
    <t>25.2</t>
  </si>
  <si>
    <t>Извори финансирања за главу 25.2:</t>
  </si>
  <si>
    <t>Свега за главу 25.2:</t>
  </si>
  <si>
    <t>26.1</t>
  </si>
  <si>
    <t>27.1</t>
  </si>
  <si>
    <t>Извори финансирања за главу 27.1:</t>
  </si>
  <si>
    <t>Свега за главу 27.1:</t>
  </si>
  <si>
    <t>27.2</t>
  </si>
  <si>
    <t>Извори финансирања за главу 27.2:</t>
  </si>
  <si>
    <t>Свега за главу 27.2:</t>
  </si>
  <si>
    <t>Извори финансирања за раздео 28:</t>
  </si>
  <si>
    <t>30.1</t>
  </si>
  <si>
    <t>Извори финансирања за главу 30.1:</t>
  </si>
  <si>
    <t>Свега за главу 30.1:</t>
  </si>
  <si>
    <t>Извори финансирања за раздео 32:</t>
  </si>
  <si>
    <t>Средства ове апропријације намењена су за финансирање Завода за заштиту природе у износу од 15.765.000 динара и за суфинансирање заштићених природних добара од националног интереса у износу од 15.000.000 динара</t>
  </si>
  <si>
    <t>Извори финансирања за раздео 53:</t>
  </si>
  <si>
    <t>Извори финансирања за главу 59.7:</t>
  </si>
  <si>
    <t>Свега за главу 59.7:</t>
  </si>
  <si>
    <t>Извори финансирања за главу 59.8:</t>
  </si>
  <si>
    <t>Свега за главу 59.8:</t>
  </si>
  <si>
    <t>Извори финансирања за главу 59.9:</t>
  </si>
  <si>
    <t>Свега за главу 59.9:</t>
  </si>
  <si>
    <t>Извори финансирања за главу 59.10:</t>
  </si>
  <si>
    <t>Свега за главу 59.10:</t>
  </si>
  <si>
    <t>Извори финансирања за главу 59.11:</t>
  </si>
  <si>
    <t>Свега за главу 59.11:</t>
  </si>
  <si>
    <t>Извори финансирања за главу 59.12:</t>
  </si>
  <si>
    <t>Свега за главу 59.12:</t>
  </si>
  <si>
    <t>Извори финансирања за главу 59.13:</t>
  </si>
  <si>
    <t>Свега за главу 59.13:</t>
  </si>
  <si>
    <t>Извори финансирања за главу 59.14:</t>
  </si>
  <si>
    <t>Свега за главу 59.14:</t>
  </si>
  <si>
    <t>Извори финансирања за главу 59.15:</t>
  </si>
  <si>
    <t>Свега за главу 59.15:</t>
  </si>
  <si>
    <t>Извори финансирања за главу 59.16:</t>
  </si>
  <si>
    <t>Свега за главу 59.16:</t>
  </si>
  <si>
    <t>Извори финансирања за главу 59.17:</t>
  </si>
  <si>
    <t>Свега за главу 59.17:</t>
  </si>
  <si>
    <t>Извори финансирања за главу 59.18:</t>
  </si>
  <si>
    <t>Свега за главу 59.18:</t>
  </si>
  <si>
    <t>Извори финансирања за главу 59.19:</t>
  </si>
  <si>
    <t>Свега за главу 59.19:</t>
  </si>
  <si>
    <t>Извори финансирања за главу 59.20:</t>
  </si>
  <si>
    <t>Свега за главу 59.20:</t>
  </si>
  <si>
    <t>Извори финансирања за главу 59.21:</t>
  </si>
  <si>
    <t>Свега за главу 59.21:</t>
  </si>
  <si>
    <t>Извори финансирања за главу 59.22:</t>
  </si>
  <si>
    <t>Свега за главу 59.22:</t>
  </si>
  <si>
    <t>Извори финансирања за главу 59.23:</t>
  </si>
  <si>
    <t>Свега за главу 59.23:</t>
  </si>
  <si>
    <t>Извори финансирања за главу 59.24:</t>
  </si>
  <si>
    <t>Свега за главу 59.24:</t>
  </si>
  <si>
    <t>Извори финансирања за главу 59.25:</t>
  </si>
  <si>
    <t>Свега за главу 59.25:</t>
  </si>
  <si>
    <t>Извори финансирања за главу 59.26:</t>
  </si>
  <si>
    <t>Свега за главу 59.26:</t>
  </si>
  <si>
    <t>Извори финансирања за главу 59.27:</t>
  </si>
  <si>
    <t>Свега за главу 59.27:</t>
  </si>
  <si>
    <t>Извори финансирања за главу 59.28:</t>
  </si>
  <si>
    <t>Свега за главу 59.28:</t>
  </si>
  <si>
    <t>Извори финансирања за главу 59.29:</t>
  </si>
  <si>
    <t>Свега за главу 59.29:</t>
  </si>
  <si>
    <t>Извори финансирања за раздео 59:</t>
  </si>
  <si>
    <t>УКУПНО ЗА РАЗДЕО 59:</t>
  </si>
  <si>
    <t>Део средстава ове апропријације намењен је за допунску наставу на српском језику у иностранству</t>
  </si>
  <si>
    <t>Извори финансирања за раздео 61:</t>
  </si>
  <si>
    <t>Извори финансирања за функцију 412:</t>
  </si>
  <si>
    <t>Укупно за функцију 412:</t>
  </si>
  <si>
    <t>Средства ове апропријације намењена су за Фонд солидарности</t>
  </si>
  <si>
    <t>УКУПНО ЗА РАЗДЕО 61:</t>
  </si>
  <si>
    <t>Извори финансирања за раздео 62:</t>
  </si>
  <si>
    <t>УКУПНО ЗА РАЗДЕО 62:</t>
  </si>
  <si>
    <t>Извори финансирања за главу 63.1:</t>
  </si>
  <si>
    <t>Свега за главу 63.1:</t>
  </si>
  <si>
    <t>Извори финансирања за главу 63.2:</t>
  </si>
  <si>
    <t>Свега за главу 63.2:</t>
  </si>
  <si>
    <t>Извори финансирања за главу 63.3:</t>
  </si>
  <si>
    <t>Свега за главу 63.3:</t>
  </si>
  <si>
    <t>Извори финансирања за раздео 63:</t>
  </si>
  <si>
    <t>УКУПНО ЗА РАЗДЕО 63:</t>
  </si>
  <si>
    <t>Извори финансирања за главу 64.1:</t>
  </si>
  <si>
    <t>Свега за главу 64.1:</t>
  </si>
  <si>
    <t>Извори финансирања за раздео 64:</t>
  </si>
  <si>
    <t>УКУПНО ЗА РАЗДЕО 64:</t>
  </si>
  <si>
    <t>Извори финансирања за главу 65.1:</t>
  </si>
  <si>
    <t>Свега за главу 65.1:</t>
  </si>
  <si>
    <t>Извори финансирања за главу 65.2:</t>
  </si>
  <si>
    <t>Свега за главу 65.2:</t>
  </si>
  <si>
    <t>Извори финансирања за главу 65.3:</t>
  </si>
  <si>
    <t>Свега за главу 65.3:</t>
  </si>
  <si>
    <t>Извори финансирања за главу 65.4:</t>
  </si>
  <si>
    <t>Свега за главу 65.4:</t>
  </si>
  <si>
    <t>Извори финансирања за раздео 65:</t>
  </si>
  <si>
    <t>УКУПНО ЗА РАЗДЕО 65:</t>
  </si>
  <si>
    <t>66.1</t>
  </si>
  <si>
    <t>Извори финансирања за главу 66.1:</t>
  </si>
  <si>
    <t>Свега за главу 66.1:</t>
  </si>
  <si>
    <t>66.2</t>
  </si>
  <si>
    <t>Извори финансирања за главу 66.2:</t>
  </si>
  <si>
    <t>Свега за главу 66.2:</t>
  </si>
  <si>
    <t>66.3</t>
  </si>
  <si>
    <t>Извори финансирања за главу 66.3:</t>
  </si>
  <si>
    <t>Свега за главу 66.3:</t>
  </si>
  <si>
    <t>66.4</t>
  </si>
  <si>
    <t>Извори финансирања за главу 66.4:</t>
  </si>
  <si>
    <t>Свега за главу 66.4:</t>
  </si>
  <si>
    <t>66.5</t>
  </si>
  <si>
    <t>Извори финансирања за главу 66.5:</t>
  </si>
  <si>
    <t>Свега за главу 66.5:</t>
  </si>
  <si>
    <t>66.6</t>
  </si>
  <si>
    <t>Извори финансирања за главу 66.6:</t>
  </si>
  <si>
    <t>Свега за главу 66.6:</t>
  </si>
  <si>
    <t>66.7</t>
  </si>
  <si>
    <t>Извори финансирања за главу 66.7:</t>
  </si>
  <si>
    <t>Свега за главу 66.7:</t>
  </si>
  <si>
    <t>66.8</t>
  </si>
  <si>
    <t>Извори финансирања за главу 66.8:</t>
  </si>
  <si>
    <t>Свега за главу 66.8:</t>
  </si>
  <si>
    <t>66.9</t>
  </si>
  <si>
    <t>Извори финансирања за главу 66.9:</t>
  </si>
  <si>
    <t>Свега за главу 66.9:</t>
  </si>
  <si>
    <t>66.10</t>
  </si>
  <si>
    <t>Извори финансирања за главу 66.10:</t>
  </si>
  <si>
    <t>Свега за главу 66.10:</t>
  </si>
  <si>
    <t>Извори финансирања за раздео 66:</t>
  </si>
  <si>
    <t>УКУПНО ЗА РАЗДЕО 66:</t>
  </si>
  <si>
    <t>67.1</t>
  </si>
  <si>
    <t>Извори финансирања за главу 67.1:</t>
  </si>
  <si>
    <t>Свега за главу 67.1:</t>
  </si>
  <si>
    <t>Извори финансирања за раздео 67:</t>
  </si>
  <si>
    <t>УКУПНО ЗА РАЗДЕО 67:</t>
  </si>
  <si>
    <t>Накнада штете за повреду или штету нанету од државних органа</t>
  </si>
  <si>
    <t>465</t>
  </si>
  <si>
    <t>Остале донације, дотације и трансфери</t>
  </si>
  <si>
    <t>ЗАВОД ЗА ВРЕДНОВАЊЕ КВАЛИТЕТА ОБРАЗОВАЊА И ВАСПИТАЊА</t>
  </si>
  <si>
    <t>Извори финансирања за функцију 360:</t>
  </si>
  <si>
    <t>Укупно за функцију 360:</t>
  </si>
  <si>
    <t>Извори финансирања за главу 3.6:</t>
  </si>
  <si>
    <t>Свега за главу 3.6:</t>
  </si>
  <si>
    <t>Извори финансирања за главу 3.7:</t>
  </si>
  <si>
    <t>Свега за главу 3.7:</t>
  </si>
  <si>
    <t>Извори финансирања за функцију 160:</t>
  </si>
  <si>
    <t>Укупно за функцију 160:</t>
  </si>
  <si>
    <t>Извори финансирања за главу 3.9:</t>
  </si>
  <si>
    <t>Свега за главу 3.9:</t>
  </si>
  <si>
    <t>Извори финансирања за главу 3.10:</t>
  </si>
  <si>
    <t>Свега за главу 3.10:</t>
  </si>
  <si>
    <t>Извори финансирања за функцију 450:</t>
  </si>
  <si>
    <t>Укупно за функцију 450:</t>
  </si>
  <si>
    <t>Извори финансирања за раздео 3:</t>
  </si>
  <si>
    <t>УКУПНО ЗА РАЗДЕО 3:</t>
  </si>
  <si>
    <t>Извори финансирања за функцију 330:</t>
  </si>
  <si>
    <t>Укупно за функцију 330:</t>
  </si>
  <si>
    <t>Извори финансирања за раздео 4:</t>
  </si>
  <si>
    <t>УКУПНО ЗА РАЗДЕО 4:</t>
  </si>
  <si>
    <t>Извори финансирања за главу 5.1:</t>
  </si>
  <si>
    <t>Свега за главу 5.1:</t>
  </si>
  <si>
    <t>Извори финансирања за главу 5.2:</t>
  </si>
  <si>
    <t>Свега за главу 5.2:</t>
  </si>
  <si>
    <t>Извори финансирања за главу 5.3:</t>
  </si>
  <si>
    <t>Свега за главу 5.3:</t>
  </si>
  <si>
    <t>Извори финансирања за главу 5.4:</t>
  </si>
  <si>
    <t>Свега за главу 5.4:</t>
  </si>
  <si>
    <t>Извори финансирања за главу 5.5:</t>
  </si>
  <si>
    <t>Свега за главу 5.5:</t>
  </si>
  <si>
    <t>Извори финансирања за главу 5.6:</t>
  </si>
  <si>
    <t>Свега за главу 5.6:</t>
  </si>
  <si>
    <t>Извори финансирања за главу 5.7:</t>
  </si>
  <si>
    <t>Свега за главу 5.7:</t>
  </si>
  <si>
    <t>Извори финансирања за главу 5.8:</t>
  </si>
  <si>
    <t>Свега за главу 5.8:</t>
  </si>
  <si>
    <t>Извори финансирања за главу 5.9:</t>
  </si>
  <si>
    <t>Свега за главу 5.9:</t>
  </si>
  <si>
    <t>Извори финансирања за главу 5.10:</t>
  </si>
  <si>
    <t>Свега за главу 5.10:</t>
  </si>
  <si>
    <t>Извори финансирања за главу 5.11:</t>
  </si>
  <si>
    <t>Свега за главу 5.11:</t>
  </si>
  <si>
    <t>Извори финансирања за главу 5.12:</t>
  </si>
  <si>
    <t>Свега за главу 5.12:</t>
  </si>
  <si>
    <t>Извори финансирања за раздео 5:</t>
  </si>
  <si>
    <t>434</t>
  </si>
  <si>
    <t>441</t>
  </si>
  <si>
    <t>442</t>
  </si>
  <si>
    <t>443</t>
  </si>
  <si>
    <t>451</t>
  </si>
  <si>
    <t>472</t>
  </si>
  <si>
    <t>473</t>
  </si>
  <si>
    <t>Туризам</t>
  </si>
  <si>
    <t>481</t>
  </si>
  <si>
    <t>482</t>
  </si>
  <si>
    <t>483</t>
  </si>
  <si>
    <t>484</t>
  </si>
  <si>
    <t>485</t>
  </si>
  <si>
    <t>Економска класифи-кација</t>
  </si>
  <si>
    <t>Раздео</t>
  </si>
  <si>
    <t>Глава</t>
  </si>
  <si>
    <t>Функција</t>
  </si>
  <si>
    <t xml:space="preserve">Средства
из буџета </t>
  </si>
  <si>
    <t>ОПИС</t>
  </si>
  <si>
    <t>Укупна средства</t>
  </si>
  <si>
    <t>1</t>
  </si>
  <si>
    <t/>
  </si>
  <si>
    <t>110</t>
  </si>
  <si>
    <t>Извршни и законодавни органи, финансијски и фискални послови и спољни послови</t>
  </si>
  <si>
    <t>1.1</t>
  </si>
  <si>
    <t>130</t>
  </si>
  <si>
    <t>Опште услуге</t>
  </si>
  <si>
    <t>01</t>
  </si>
  <si>
    <t>Приходи из буџета</t>
  </si>
  <si>
    <t>2</t>
  </si>
  <si>
    <t>ПРЕДСЕДНИК РЕПУБЛИКЕ</t>
  </si>
  <si>
    <t>133</t>
  </si>
  <si>
    <t>Остале опште услуге</t>
  </si>
  <si>
    <t>05</t>
  </si>
  <si>
    <t>Донације од иностраних земаља</t>
  </si>
  <si>
    <t>06</t>
  </si>
  <si>
    <t>Донације од међународних организација</t>
  </si>
  <si>
    <t>330</t>
  </si>
  <si>
    <t>Судови</t>
  </si>
  <si>
    <t>04</t>
  </si>
  <si>
    <t>Сопствени приходи буџетских корисника</t>
  </si>
  <si>
    <t>09</t>
  </si>
  <si>
    <t>Примања од продаје нефинансијске имовине</t>
  </si>
  <si>
    <t>360</t>
  </si>
  <si>
    <t>Јавни ред и мир некласификован на другом месту</t>
  </si>
  <si>
    <t>11</t>
  </si>
  <si>
    <t>Примања од иностраних задуживања</t>
  </si>
  <si>
    <t>450</t>
  </si>
  <si>
    <t>Транспорт</t>
  </si>
  <si>
    <t>310</t>
  </si>
  <si>
    <t>Полицијске услуге</t>
  </si>
  <si>
    <t>08</t>
  </si>
  <si>
    <t>Донације од невладиних организација и појединаца</t>
  </si>
  <si>
    <t>170</t>
  </si>
  <si>
    <t>Трансакције везане за јавни дуг</t>
  </si>
  <si>
    <t>420</t>
  </si>
  <si>
    <t>Пољопривреда, шумарство, лов и риболов</t>
  </si>
  <si>
    <t>410</t>
  </si>
  <si>
    <t>Општи економски и комерцијални послови и послови по питању рада</t>
  </si>
  <si>
    <t>12</t>
  </si>
  <si>
    <t>Примања од отплате датих кредита и продаје финансијске имовине</t>
  </si>
  <si>
    <t>340</t>
  </si>
  <si>
    <t>Затвори</t>
  </si>
  <si>
    <t>180</t>
  </si>
  <si>
    <t>Трансакције општег карактера између различитих нивоа власти</t>
  </si>
  <si>
    <t>760</t>
  </si>
  <si>
    <t>Здравство некласификовано на другом месту</t>
  </si>
  <si>
    <t>630</t>
  </si>
  <si>
    <t>Водоснабдевање</t>
  </si>
  <si>
    <t>СЛУЖБА КООРДИНАЦИОНОГ ТЕЛА СРБИЈЕ ЗА ОПШТИНЕ ПРЕШЕВО, БУЈАНОВАЦ И МЕДВЕЂА</t>
  </si>
  <si>
    <t>3.1</t>
  </si>
  <si>
    <t>3.2</t>
  </si>
  <si>
    <t>3.3</t>
  </si>
  <si>
    <t>3.4</t>
  </si>
  <si>
    <t>3.5</t>
  </si>
  <si>
    <t>3.6</t>
  </si>
  <si>
    <t>3.7</t>
  </si>
  <si>
    <t>3.9</t>
  </si>
  <si>
    <t>3.10</t>
  </si>
  <si>
    <t>ФОНД ЗА КОСОВО И МЕТОХИЈУ</t>
  </si>
  <si>
    <t>13</t>
  </si>
  <si>
    <t>430</t>
  </si>
  <si>
    <t>Гориво и енергија</t>
  </si>
  <si>
    <t>440</t>
  </si>
  <si>
    <t>Рударство, производња и изградња</t>
  </si>
  <si>
    <t>14</t>
  </si>
  <si>
    <t>460</t>
  </si>
  <si>
    <t>Комуникације</t>
  </si>
  <si>
    <t>620</t>
  </si>
  <si>
    <t>Развој заједнице</t>
  </si>
  <si>
    <t>490</t>
  </si>
  <si>
    <t>Економски послови некласификовани на другом месту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</si>
  <si>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</si>
  <si>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</si>
  <si>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</si>
  <si>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</si>
  <si>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</si>
  <si>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</si>
  <si>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</si>
  <si>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</si>
  <si>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140</t>
  </si>
  <si>
    <t>Основно истраживање</t>
  </si>
  <si>
    <t>560</t>
  </si>
  <si>
    <t>Заштита животне средине некласификована на другом месту</t>
  </si>
  <si>
    <t>980</t>
  </si>
  <si>
    <t>Образовање некласификовано на другом месту</t>
  </si>
  <si>
    <t>910</t>
  </si>
  <si>
    <t>Предшколско и основно образовање</t>
  </si>
  <si>
    <t>07</t>
  </si>
  <si>
    <t>Донације од осталих нивоа власти</t>
  </si>
  <si>
    <t>920</t>
  </si>
  <si>
    <t>Средње образовање</t>
  </si>
  <si>
    <t>960</t>
  </si>
  <si>
    <t>Помоћне услуге образовању</t>
  </si>
  <si>
    <t>940</t>
  </si>
  <si>
    <t>Високо образовање</t>
  </si>
  <si>
    <t>810</t>
  </si>
  <si>
    <t>Услуге рекреације и спорта</t>
  </si>
  <si>
    <t>820</t>
  </si>
  <si>
    <t>Услуге културе</t>
  </si>
  <si>
    <t>840</t>
  </si>
  <si>
    <t>Верске и друге услуге заједнице</t>
  </si>
  <si>
    <t>210</t>
  </si>
  <si>
    <t>Војна одбрана</t>
  </si>
  <si>
    <t>470</t>
  </si>
  <si>
    <t>Остале делатности</t>
  </si>
  <si>
    <t>250</t>
  </si>
  <si>
    <t>Одбрана некласификована на другом месту</t>
  </si>
  <si>
    <t>510</t>
  </si>
  <si>
    <t>Управљање отпадом</t>
  </si>
  <si>
    <t>160</t>
  </si>
  <si>
    <t>Опште јавне услуге које нису класификоване на другом месту</t>
  </si>
  <si>
    <t>Социјални доприноси на терет послодавца</t>
  </si>
  <si>
    <t>Накнаде у натури</t>
  </si>
  <si>
    <t>Трошкови путовања</t>
  </si>
  <si>
    <t>Социјална давања запосленима</t>
  </si>
  <si>
    <t>Стални трошкови</t>
  </si>
  <si>
    <t>Услуге по уговору</t>
  </si>
  <si>
    <t>Специјализоване услуге</t>
  </si>
  <si>
    <t>Материјал</t>
  </si>
  <si>
    <t>Зграде и грађевински објекти</t>
  </si>
  <si>
    <t>Машине и опрема</t>
  </si>
  <si>
    <t>Накнаде за социјалну заштиту из буџета</t>
  </si>
  <si>
    <t>Накнада штете за повреде или штету нанету од стране државних органа</t>
  </si>
  <si>
    <t>Земљиште</t>
  </si>
  <si>
    <t>Пратећи трошкови задуживања</t>
  </si>
  <si>
    <t>Отплата страних камата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</si>
  <si>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</si>
  <si>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</si>
  <si>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</si>
  <si>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Залихе производње</t>
  </si>
  <si>
    <t>Субвенције јавним нефинансијским предузећима и организацијама</t>
  </si>
  <si>
    <t>Набавка домаће финансијске имовине</t>
  </si>
  <si>
    <t>Робне резерве</t>
  </si>
  <si>
    <t>Залихе робе за даљу продају</t>
  </si>
  <si>
    <t>Накнада штете за повреде или штету насталу услед елементарних непогода или других природних узрока</t>
  </si>
  <si>
    <t>КАБИНЕТ ПРЕДСЕДНИКА ВЛАДЕ</t>
  </si>
  <si>
    <t>НАРОДНА СКУПШТИНА</t>
  </si>
  <si>
    <t>НАРОДНА СКУПШТИНА - СТРУЧНЕ СЛУЖБЕ</t>
  </si>
  <si>
    <t>Средства резерве</t>
  </si>
  <si>
    <t>Нераспоређени вишак прихода из ранијих година</t>
  </si>
  <si>
    <t>Неутрошена приватизациона примања из ранијих година</t>
  </si>
  <si>
    <t>112</t>
  </si>
  <si>
    <t>Финансијски и фискални послови и услуге</t>
  </si>
  <si>
    <t>113</t>
  </si>
  <si>
    <t>Спољни послови</t>
  </si>
  <si>
    <t>411</t>
  </si>
  <si>
    <t>412</t>
  </si>
  <si>
    <t>421</t>
  </si>
  <si>
    <t>Пољопривреда</t>
  </si>
  <si>
    <t>422</t>
  </si>
  <si>
    <t>423</t>
  </si>
  <si>
    <t>431</t>
  </si>
  <si>
    <t>413</t>
  </si>
  <si>
    <t>415</t>
  </si>
  <si>
    <t>417</t>
  </si>
  <si>
    <t>414</t>
  </si>
  <si>
    <t>416</t>
  </si>
  <si>
    <t>424</t>
  </si>
  <si>
    <t>425</t>
  </si>
  <si>
    <t>426</t>
  </si>
  <si>
    <t>511</t>
  </si>
  <si>
    <t>512</t>
  </si>
  <si>
    <t>444</t>
  </si>
  <si>
    <t>462</t>
  </si>
  <si>
    <t>463</t>
  </si>
  <si>
    <t>464</t>
  </si>
  <si>
    <t>499</t>
  </si>
  <si>
    <t>521</t>
  </si>
  <si>
    <t>522</t>
  </si>
  <si>
    <t>523</t>
  </si>
  <si>
    <t>541</t>
  </si>
  <si>
    <t>611</t>
  </si>
  <si>
    <t>612</t>
  </si>
  <si>
    <t>613</t>
  </si>
  <si>
    <t>621</t>
  </si>
  <si>
    <t>КАБИНЕТ ПОТПРЕДСЕДНИКА ВЛАДЕ</t>
  </si>
  <si>
    <t>ГЕНЕРАЛНИ СЕКРЕТАРИЈАТ ВЛАДЕ</t>
  </si>
  <si>
    <t>КАНЦЕЛАРИЈА ЗА САРАДЊУ С МЕДИЈИМА</t>
  </si>
  <si>
    <t>КАНЦЕЛАРИЈА ЗА ПРИДРУЖИВАЊЕ ЕВРОПСКОЈ УНИЈИ</t>
  </si>
  <si>
    <t>САВЕТ ЗА БОРБУ ПРОТИВ КОРУПЦИЈЕ</t>
  </si>
  <si>
    <t>СЛУЖБА ЗА УПРАВЉАЊЕ КАДРОВИМА</t>
  </si>
  <si>
    <t>СЛУЖБА ЗА ЉУДСКА И МАЊИНСКА ПРАВА</t>
  </si>
  <si>
    <t>СЛУЖБА КООРДИНАЦИОНОГ ЦЕНТРА СРБИЈЕ ЗА КОСОВО И МЕТОХИЈУ</t>
  </si>
  <si>
    <t>АВИО-СЛУЖБА ВЛАДЕ</t>
  </si>
  <si>
    <t>4</t>
  </si>
  <si>
    <t>УСТАВНИ СУД</t>
  </si>
  <si>
    <t>5</t>
  </si>
  <si>
    <t>ПРАВОСУДНИ ОРГАНИ</t>
  </si>
  <si>
    <t>5.1</t>
  </si>
  <si>
    <t>Општи послови по питању рада</t>
  </si>
  <si>
    <t>МИНИСТАРСТВО УНУТРАШЊИХ ПОСЛОВА</t>
  </si>
  <si>
    <t>МИНИСТАРСТВО СПОЉНИХ ПОСЛОВА</t>
  </si>
  <si>
    <t>9.1</t>
  </si>
  <si>
    <t>МИНИСТАРСТВО ОДБРАНЕ</t>
  </si>
  <si>
    <t>МИНИСТАРСТВО ПРАВДЕ</t>
  </si>
  <si>
    <t>УПРАВА ЗА ИЗВРШЕЊЕ ЗАВОДСКИХ САНКЦИЈА</t>
  </si>
  <si>
    <t>МИНИСТАРСТВО ФИНАНСИЈА</t>
  </si>
  <si>
    <t>УПРАВА ЦАРИНА</t>
  </si>
  <si>
    <t>ПОРЕСКА УПРАВА</t>
  </si>
  <si>
    <t>УПРАВА ЗА ТРЕЗОР</t>
  </si>
  <si>
    <t>УПРАВА ЗА ИГРЕ НА СРЕЋУ</t>
  </si>
  <si>
    <t>ФОНД ЗА МЛАДЕ ТАЛЕНТЕ</t>
  </si>
  <si>
    <t>УПРАВА ЗА ДУВАН</t>
  </si>
  <si>
    <t>УПРАВА ЗА СПРЕЧАВАЊЕ ПРАЊА НОВЦА</t>
  </si>
  <si>
    <t>ДЕВИЗНИ ИНСПЕКТОРАТ</t>
  </si>
  <si>
    <t>УПРАВА ЗА СЛОБОДНЕ ЗОНЕ</t>
  </si>
  <si>
    <t>МИНИСТАРСТВО ЗА ЕКОНОМСКЕ ОДНОСЕ СА ИНОСТРАНСТВОМ</t>
  </si>
  <si>
    <t>МИНИСТАРСТВО ПОЉОПРИВРЕДЕ, ШУМАРСТВА И ВОДОПРИВРЕДЕ</t>
  </si>
  <si>
    <t>14.1</t>
  </si>
  <si>
    <t>УПРАВА ЗА ВЕТЕРИНУ</t>
  </si>
  <si>
    <t>УПРАВА ЗА ЗАШТИТУ БИЉА</t>
  </si>
  <si>
    <t>РЕПУБЛИЧКА ДИРЕКЦИЈА ЗА ВОДЕ</t>
  </si>
  <si>
    <t>УПРАВА ЗА ШУМЕ</t>
  </si>
  <si>
    <t>15</t>
  </si>
  <si>
    <t>МИНИСТАРСТВО ЗА КАПИТАЛНЕ ИНВЕСТИЦИЈЕ</t>
  </si>
  <si>
    <t>МИНИСТАРСТВО РУДАРСТВА И ЕНЕРГЕТИКЕ</t>
  </si>
  <si>
    <t>МИНИСТАРСТВО РАДА, ЗАПОШЉАВАЊА И СОЦИЈАЛНЕ ПОЛИТИКЕ</t>
  </si>
  <si>
    <t>УКУПНО ЗА РАЗДЕО 5:</t>
  </si>
  <si>
    <t>Извори финансирања за раздео 6:</t>
  </si>
  <si>
    <t>УКУПНО ЗА РАЗДЕО 6:</t>
  </si>
  <si>
    <t>Извори финансирања за раздео 7:</t>
  </si>
  <si>
    <t>УКУПНО ЗА РАЗДЕО 7: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</si>
</sst>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;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&quot; din&quot;;\-#,##0.00&quot; din&quot;"/>
    <numFmt numFmtId="186" formatCode="#,##0;\-#,##0;"/>
    <numFmt numFmtId="187" formatCode="#,##0.0"/>
  </numFmts>
  <fonts count="2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180" fontId="0" fillId="0" borderId="0" xfId="0" applyNumberForma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180" fontId="0" fillId="0" borderId="0" xfId="0" applyNumberFormat="1" applyFill="1" applyAlignment="1">
      <alignment vertical="center" wrapText="1"/>
    </xf>
    <xf numFmtId="180" fontId="0" fillId="0" borderId="13" xfId="0" applyNumberFormat="1" applyFill="1" applyBorder="1" applyAlignment="1">
      <alignment vertical="center" wrapText="1"/>
    </xf>
    <xf numFmtId="180" fontId="5" fillId="0" borderId="12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180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80" fontId="0" fillId="0" borderId="11" xfId="0" applyNumberFormat="1" applyFill="1" applyBorder="1" applyAlignment="1">
      <alignment vertical="center" wrapText="1"/>
    </xf>
    <xf numFmtId="180" fontId="5" fillId="0" borderId="11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wrapText="1"/>
    </xf>
    <xf numFmtId="180" fontId="0" fillId="0" borderId="0" xfId="0" applyNumberFormat="1" applyFont="1" applyFill="1" applyAlignment="1">
      <alignment wrapText="1"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13" xfId="0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80" fontId="4" fillId="0" borderId="14" xfId="57" applyNumberFormat="1" applyFont="1" applyFill="1" applyBorder="1" applyAlignment="1">
      <alignment horizontal="center" vertical="center" wrapText="1"/>
      <protection/>
    </xf>
    <xf numFmtId="180" fontId="4" fillId="0" borderId="15" xfId="57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80"/>
  <sheetViews>
    <sheetView tabSelected="1" view="pageBreakPreview" zoomScaleSheetLayoutView="100" zoomScalePageLayoutView="0" workbookViewId="0" topLeftCell="B4749">
      <selection activeCell="H4777" sqref="H4777"/>
    </sheetView>
  </sheetViews>
  <sheetFormatPr defaultColWidth="9.140625" defaultRowHeight="12.75"/>
  <cols>
    <col min="1" max="1" width="6.00390625" style="4" customWidth="1"/>
    <col min="2" max="2" width="5.8515625" style="5" customWidth="1"/>
    <col min="3" max="3" width="7.421875" style="4" customWidth="1"/>
    <col min="4" max="4" width="8.8515625" style="5" customWidth="1"/>
    <col min="5" max="5" width="5.00390625" style="5" customWidth="1"/>
    <col min="6" max="6" width="54.28125" style="11" customWidth="1"/>
    <col min="7" max="9" width="15.8515625" style="24" customWidth="1"/>
    <col min="10" max="11" width="9.140625" style="1" customWidth="1"/>
    <col min="12" max="12" width="13.8515625" style="1" bestFit="1" customWidth="1"/>
    <col min="13" max="16384" width="9.140625" style="1" customWidth="1"/>
  </cols>
  <sheetData>
    <row r="3" ht="12.75">
      <c r="F3" s="6"/>
    </row>
    <row r="4" spans="1:9" ht="12.75">
      <c r="A4" s="68" t="s">
        <v>759</v>
      </c>
      <c r="B4" s="72" t="s">
        <v>760</v>
      </c>
      <c r="C4" s="68" t="s">
        <v>761</v>
      </c>
      <c r="D4" s="72" t="s">
        <v>758</v>
      </c>
      <c r="E4" s="68" t="s">
        <v>763</v>
      </c>
      <c r="F4" s="69"/>
      <c r="G4" s="65" t="s">
        <v>762</v>
      </c>
      <c r="H4" s="65" t="s">
        <v>469</v>
      </c>
      <c r="I4" s="65" t="s">
        <v>764</v>
      </c>
    </row>
    <row r="5" spans="1:9" ht="19.5" customHeight="1">
      <c r="A5" s="71"/>
      <c r="B5" s="73"/>
      <c r="C5" s="71"/>
      <c r="D5" s="74"/>
      <c r="E5" s="70"/>
      <c r="F5" s="70"/>
      <c r="G5" s="66"/>
      <c r="H5" s="66"/>
      <c r="I5" s="66"/>
    </row>
    <row r="6" spans="1:9" ht="12.75">
      <c r="A6" s="2">
        <v>1</v>
      </c>
      <c r="B6" s="3">
        <v>2</v>
      </c>
      <c r="C6" s="2">
        <v>3</v>
      </c>
      <c r="D6" s="3">
        <v>4</v>
      </c>
      <c r="E6" s="67">
        <v>5</v>
      </c>
      <c r="F6" s="67"/>
      <c r="G6" s="43">
        <v>6</v>
      </c>
      <c r="H6" s="43">
        <v>7</v>
      </c>
      <c r="I6" s="43">
        <v>8</v>
      </c>
    </row>
    <row r="7" spans="1:6" ht="12.75">
      <c r="A7" s="8" t="s">
        <v>765</v>
      </c>
      <c r="B7" s="9" t="s">
        <v>766</v>
      </c>
      <c r="C7" s="8"/>
      <c r="D7" s="9"/>
      <c r="E7" s="64" t="s">
        <v>902</v>
      </c>
      <c r="F7" s="64"/>
    </row>
    <row r="8" spans="1:6" ht="25.5" customHeight="1">
      <c r="A8" s="8"/>
      <c r="B8" s="9"/>
      <c r="C8" s="8" t="s">
        <v>767</v>
      </c>
      <c r="D8" s="9"/>
      <c r="E8" s="57" t="s">
        <v>768</v>
      </c>
      <c r="F8" s="57"/>
    </row>
    <row r="9" spans="4:9" ht="12.75">
      <c r="D9" s="5" t="s">
        <v>911</v>
      </c>
      <c r="E9" s="55" t="s">
        <v>199</v>
      </c>
      <c r="F9" s="55"/>
      <c r="G9" s="24">
        <f>285888000-5000000</f>
        <v>280888000</v>
      </c>
      <c r="H9" s="24">
        <v>0</v>
      </c>
      <c r="I9" s="24">
        <f aca="true" t="shared" si="0" ref="I9:I14">G9+H9</f>
        <v>280888000</v>
      </c>
    </row>
    <row r="10" spans="4:9" ht="12.75">
      <c r="D10" s="5" t="s">
        <v>912</v>
      </c>
      <c r="E10" s="55" t="s">
        <v>877</v>
      </c>
      <c r="F10" s="55"/>
      <c r="G10" s="24">
        <v>50752000</v>
      </c>
      <c r="H10" s="24">
        <v>0</v>
      </c>
      <c r="I10" s="24">
        <f t="shared" si="0"/>
        <v>50752000</v>
      </c>
    </row>
    <row r="11" spans="4:9" ht="12.75">
      <c r="D11" s="5" t="s">
        <v>918</v>
      </c>
      <c r="E11" s="55" t="s">
        <v>878</v>
      </c>
      <c r="F11" s="55"/>
      <c r="G11" s="24">
        <v>1750000</v>
      </c>
      <c r="H11" s="24">
        <v>0</v>
      </c>
      <c r="I11" s="24">
        <f t="shared" si="0"/>
        <v>1750000</v>
      </c>
    </row>
    <row r="12" spans="4:9" ht="12.75">
      <c r="D12" s="5" t="s">
        <v>919</v>
      </c>
      <c r="E12" s="55" t="s">
        <v>200</v>
      </c>
      <c r="F12" s="55"/>
      <c r="G12" s="24">
        <v>750000</v>
      </c>
      <c r="H12" s="24">
        <v>0</v>
      </c>
      <c r="I12" s="24">
        <f t="shared" si="0"/>
        <v>750000</v>
      </c>
    </row>
    <row r="13" spans="4:9" ht="12.75">
      <c r="D13" s="5" t="s">
        <v>920</v>
      </c>
      <c r="E13" s="55" t="s">
        <v>202</v>
      </c>
      <c r="F13" s="55"/>
      <c r="G13" s="24">
        <v>100000000</v>
      </c>
      <c r="H13" s="24">
        <v>0</v>
      </c>
      <c r="I13" s="24">
        <f t="shared" si="0"/>
        <v>100000000</v>
      </c>
    </row>
    <row r="14" spans="4:9" ht="13.5" thickBot="1">
      <c r="D14" s="5" t="s">
        <v>915</v>
      </c>
      <c r="E14" s="55" t="s">
        <v>879</v>
      </c>
      <c r="F14" s="55"/>
      <c r="G14" s="24">
        <f>19700000+20000000+5000000</f>
        <v>44700000</v>
      </c>
      <c r="H14" s="24">
        <v>0</v>
      </c>
      <c r="I14" s="24">
        <f t="shared" si="0"/>
        <v>44700000</v>
      </c>
    </row>
    <row r="15" spans="5:9" ht="12.75">
      <c r="E15" s="58" t="s">
        <v>342</v>
      </c>
      <c r="F15" s="58"/>
      <c r="G15" s="25"/>
      <c r="H15" s="25"/>
      <c r="I15" s="25"/>
    </row>
    <row r="16" spans="4:9" ht="13.5" thickBot="1">
      <c r="D16" s="5" t="s">
        <v>772</v>
      </c>
      <c r="E16" s="55" t="s">
        <v>773</v>
      </c>
      <c r="F16" s="55"/>
      <c r="G16" s="24">
        <f>SUM(G9:G15)</f>
        <v>478840000</v>
      </c>
      <c r="I16" s="24">
        <f>G16+H16</f>
        <v>478840000</v>
      </c>
    </row>
    <row r="17" spans="5:9" ht="13.5" thickBot="1">
      <c r="E17" s="56" t="s">
        <v>343</v>
      </c>
      <c r="F17" s="56"/>
      <c r="G17" s="26">
        <f>SUM(G16:G16)</f>
        <v>478840000</v>
      </c>
      <c r="H17" s="26">
        <f>SUM(H16:H16)</f>
        <v>0</v>
      </c>
      <c r="I17" s="26">
        <f>G17+H17</f>
        <v>478840000</v>
      </c>
    </row>
    <row r="18" spans="5:9" ht="12.75">
      <c r="E18" s="58" t="s">
        <v>344</v>
      </c>
      <c r="F18" s="58"/>
      <c r="G18" s="25"/>
      <c r="H18" s="25"/>
      <c r="I18" s="25"/>
    </row>
    <row r="19" spans="4:9" ht="13.5" thickBot="1">
      <c r="D19" s="5" t="s">
        <v>772</v>
      </c>
      <c r="E19" s="55" t="s">
        <v>773</v>
      </c>
      <c r="F19" s="55"/>
      <c r="G19" s="24">
        <f>+G16</f>
        <v>478840000</v>
      </c>
      <c r="H19" s="24">
        <v>0</v>
      </c>
      <c r="I19" s="24">
        <f>G19+H19</f>
        <v>478840000</v>
      </c>
    </row>
    <row r="20" spans="5:9" ht="13.5" thickBot="1">
      <c r="E20" s="56" t="s">
        <v>345</v>
      </c>
      <c r="F20" s="56"/>
      <c r="G20" s="26">
        <f>SUM(G19:G19)</f>
        <v>478840000</v>
      </c>
      <c r="H20" s="26">
        <f>SUM(H19:H19)</f>
        <v>0</v>
      </c>
      <c r="I20" s="26">
        <f>G20+H20</f>
        <v>478840000</v>
      </c>
    </row>
    <row r="21" ht="8.25" customHeight="1"/>
    <row r="22" spans="1:6" ht="12.75">
      <c r="A22" s="8" t="s">
        <v>766</v>
      </c>
      <c r="B22" s="9" t="s">
        <v>769</v>
      </c>
      <c r="C22" s="8"/>
      <c r="D22" s="9"/>
      <c r="E22" s="57" t="s">
        <v>903</v>
      </c>
      <c r="F22" s="57"/>
    </row>
    <row r="23" spans="1:6" ht="12.75">
      <c r="A23" s="8"/>
      <c r="B23" s="9"/>
      <c r="C23" s="8" t="s">
        <v>770</v>
      </c>
      <c r="D23" s="9"/>
      <c r="E23" s="57" t="s">
        <v>771</v>
      </c>
      <c r="F23" s="57"/>
    </row>
    <row r="24" spans="4:9" ht="12.75">
      <c r="D24" s="5" t="s">
        <v>911</v>
      </c>
      <c r="E24" s="55" t="s">
        <v>199</v>
      </c>
      <c r="F24" s="55"/>
      <c r="G24" s="24">
        <v>101760000</v>
      </c>
      <c r="H24" s="24">
        <v>0</v>
      </c>
      <c r="I24" s="24">
        <f aca="true" t="shared" si="1" ref="I24:I38">G24+H24</f>
        <v>101760000</v>
      </c>
    </row>
    <row r="25" spans="4:9" ht="12.75">
      <c r="D25" s="5" t="s">
        <v>912</v>
      </c>
      <c r="E25" s="55" t="s">
        <v>877</v>
      </c>
      <c r="F25" s="55"/>
      <c r="G25" s="24">
        <v>18049000</v>
      </c>
      <c r="H25" s="24">
        <v>0</v>
      </c>
      <c r="I25" s="24">
        <f t="shared" si="1"/>
        <v>18049000</v>
      </c>
    </row>
    <row r="26" spans="4:9" ht="12.75">
      <c r="D26" s="5" t="s">
        <v>918</v>
      </c>
      <c r="E26" s="55" t="s">
        <v>878</v>
      </c>
      <c r="F26" s="55"/>
      <c r="G26" s="24">
        <v>790000</v>
      </c>
      <c r="H26" s="24">
        <v>0</v>
      </c>
      <c r="I26" s="24">
        <f t="shared" si="1"/>
        <v>790000</v>
      </c>
    </row>
    <row r="27" spans="4:9" ht="12.75">
      <c r="D27" s="5" t="s">
        <v>921</v>
      </c>
      <c r="E27" s="55" t="s">
        <v>880</v>
      </c>
      <c r="F27" s="55"/>
      <c r="G27" s="24">
        <v>1550000</v>
      </c>
      <c r="H27" s="24">
        <v>0</v>
      </c>
      <c r="I27" s="24">
        <f t="shared" si="1"/>
        <v>1550000</v>
      </c>
    </row>
    <row r="28" spans="4:9" ht="12.75">
      <c r="D28" s="5" t="s">
        <v>919</v>
      </c>
      <c r="E28" s="55" t="s">
        <v>200</v>
      </c>
      <c r="F28" s="55"/>
      <c r="G28" s="24">
        <f>2500000+1000000</f>
        <v>3500000</v>
      </c>
      <c r="H28" s="24">
        <v>0</v>
      </c>
      <c r="I28" s="24">
        <f t="shared" si="1"/>
        <v>3500000</v>
      </c>
    </row>
    <row r="29" spans="4:9" ht="12.75">
      <c r="D29" s="5" t="s">
        <v>922</v>
      </c>
      <c r="E29" s="55" t="s">
        <v>201</v>
      </c>
      <c r="F29" s="55"/>
      <c r="G29" s="24">
        <v>922245000</v>
      </c>
      <c r="H29" s="24">
        <v>0</v>
      </c>
      <c r="I29" s="24">
        <f t="shared" si="1"/>
        <v>922245000</v>
      </c>
    </row>
    <row r="30" spans="4:9" ht="12.75">
      <c r="D30" s="5" t="s">
        <v>913</v>
      </c>
      <c r="E30" s="55" t="s">
        <v>881</v>
      </c>
      <c r="F30" s="55"/>
      <c r="G30" s="24">
        <v>62242000</v>
      </c>
      <c r="H30" s="24">
        <v>0</v>
      </c>
      <c r="I30" s="24">
        <f t="shared" si="1"/>
        <v>62242000</v>
      </c>
    </row>
    <row r="31" spans="4:9" ht="12.75">
      <c r="D31" s="5" t="s">
        <v>915</v>
      </c>
      <c r="E31" s="55" t="s">
        <v>879</v>
      </c>
      <c r="F31" s="55"/>
      <c r="G31" s="24">
        <f>61490000+2000000</f>
        <v>63490000</v>
      </c>
      <c r="H31" s="24">
        <v>0</v>
      </c>
      <c r="I31" s="24">
        <f t="shared" si="1"/>
        <v>63490000</v>
      </c>
    </row>
    <row r="32" spans="4:9" ht="12.75">
      <c r="D32" s="5" t="s">
        <v>916</v>
      </c>
      <c r="E32" s="55" t="s">
        <v>882</v>
      </c>
      <c r="F32" s="55"/>
      <c r="G32" s="24">
        <v>62941000</v>
      </c>
      <c r="H32" s="24">
        <v>0</v>
      </c>
      <c r="I32" s="24">
        <f t="shared" si="1"/>
        <v>62941000</v>
      </c>
    </row>
    <row r="33" spans="4:9" ht="12.75">
      <c r="D33" s="5" t="s">
        <v>923</v>
      </c>
      <c r="E33" s="55" t="s">
        <v>883</v>
      </c>
      <c r="F33" s="55"/>
      <c r="G33" s="24">
        <v>100000</v>
      </c>
      <c r="H33" s="24">
        <v>0</v>
      </c>
      <c r="I33" s="24">
        <f t="shared" si="1"/>
        <v>100000</v>
      </c>
    </row>
    <row r="34" spans="4:9" ht="12.75">
      <c r="D34" s="5" t="s">
        <v>924</v>
      </c>
      <c r="E34" s="55" t="s">
        <v>203</v>
      </c>
      <c r="F34" s="55"/>
      <c r="G34" s="24">
        <v>8306000</v>
      </c>
      <c r="H34" s="24">
        <v>0</v>
      </c>
      <c r="I34" s="24">
        <f t="shared" si="1"/>
        <v>8306000</v>
      </c>
    </row>
    <row r="35" spans="4:9" ht="12.75">
      <c r="D35" s="5" t="s">
        <v>925</v>
      </c>
      <c r="E35" s="55" t="s">
        <v>884</v>
      </c>
      <c r="F35" s="55"/>
      <c r="G35" s="24">
        <f>60094000-3000000</f>
        <v>57094000</v>
      </c>
      <c r="H35" s="24">
        <v>0</v>
      </c>
      <c r="I35" s="24">
        <f t="shared" si="1"/>
        <v>57094000</v>
      </c>
    </row>
    <row r="36" spans="4:9" ht="12.75">
      <c r="D36" s="5" t="s">
        <v>753</v>
      </c>
      <c r="E36" s="55" t="s">
        <v>211</v>
      </c>
      <c r="F36" s="55"/>
      <c r="G36" s="24">
        <v>100000</v>
      </c>
      <c r="H36" s="24">
        <v>0</v>
      </c>
      <c r="I36" s="24">
        <f t="shared" si="1"/>
        <v>100000</v>
      </c>
    </row>
    <row r="37" spans="4:9" ht="12.75">
      <c r="D37" s="5" t="s">
        <v>926</v>
      </c>
      <c r="E37" s="55" t="s">
        <v>885</v>
      </c>
      <c r="F37" s="55"/>
      <c r="G37" s="24">
        <v>7820000</v>
      </c>
      <c r="H37" s="24">
        <v>0</v>
      </c>
      <c r="I37" s="24">
        <f t="shared" si="1"/>
        <v>7820000</v>
      </c>
    </row>
    <row r="38" spans="4:9" ht="13.5" thickBot="1">
      <c r="D38" s="5" t="s">
        <v>927</v>
      </c>
      <c r="E38" s="55" t="s">
        <v>886</v>
      </c>
      <c r="F38" s="55"/>
      <c r="G38" s="24">
        <v>22425000</v>
      </c>
      <c r="H38" s="24">
        <v>0</v>
      </c>
      <c r="I38" s="24">
        <f t="shared" si="1"/>
        <v>22425000</v>
      </c>
    </row>
    <row r="39" spans="5:9" ht="12.75">
      <c r="E39" s="58" t="s">
        <v>346</v>
      </c>
      <c r="F39" s="58"/>
      <c r="G39" s="25"/>
      <c r="H39" s="25"/>
      <c r="I39" s="25"/>
    </row>
    <row r="40" spans="4:9" ht="13.5" thickBot="1">
      <c r="D40" s="5" t="s">
        <v>772</v>
      </c>
      <c r="E40" s="55" t="s">
        <v>773</v>
      </c>
      <c r="F40" s="55"/>
      <c r="G40" s="24">
        <f>SUM(G24:G39)</f>
        <v>1332412000</v>
      </c>
      <c r="I40" s="24">
        <f>SUM(I24:I39)</f>
        <v>1332412000</v>
      </c>
    </row>
    <row r="41" spans="5:9" ht="13.5" thickBot="1">
      <c r="E41" s="56" t="s">
        <v>347</v>
      </c>
      <c r="F41" s="56"/>
      <c r="G41" s="26">
        <f>SUM(G40:G40)</f>
        <v>1332412000</v>
      </c>
      <c r="H41" s="26">
        <f>SUM(H40:H40)</f>
        <v>0</v>
      </c>
      <c r="I41" s="26">
        <f>SUM(I40:I40)</f>
        <v>1332412000</v>
      </c>
    </row>
    <row r="42" spans="5:9" ht="12.75">
      <c r="E42" s="58" t="s">
        <v>348</v>
      </c>
      <c r="F42" s="58"/>
      <c r="G42" s="25"/>
      <c r="H42" s="25"/>
      <c r="I42" s="25"/>
    </row>
    <row r="43" spans="4:9" ht="13.5" thickBot="1">
      <c r="D43" s="5" t="s">
        <v>772</v>
      </c>
      <c r="E43" s="55" t="s">
        <v>773</v>
      </c>
      <c r="F43" s="55"/>
      <c r="G43" s="24">
        <f>+G40</f>
        <v>1332412000</v>
      </c>
      <c r="H43" s="24">
        <v>0</v>
      </c>
      <c r="I43" s="24">
        <f>+I40</f>
        <v>1332412000</v>
      </c>
    </row>
    <row r="44" spans="5:9" ht="13.5" thickBot="1">
      <c r="E44" s="56" t="s">
        <v>349</v>
      </c>
      <c r="F44" s="56"/>
      <c r="G44" s="26">
        <f>SUM(G43:G43)</f>
        <v>1332412000</v>
      </c>
      <c r="H44" s="26">
        <f>SUM(H43:H43)</f>
        <v>0</v>
      </c>
      <c r="I44" s="26">
        <f>SUM(I43:I43)</f>
        <v>1332412000</v>
      </c>
    </row>
    <row r="45" spans="5:9" ht="12.75">
      <c r="E45" s="58" t="s">
        <v>350</v>
      </c>
      <c r="F45" s="58"/>
      <c r="G45" s="25"/>
      <c r="H45" s="25"/>
      <c r="I45" s="25"/>
    </row>
    <row r="46" spans="4:9" ht="13.5" thickBot="1">
      <c r="D46" s="5" t="s">
        <v>772</v>
      </c>
      <c r="E46" s="55" t="s">
        <v>773</v>
      </c>
      <c r="F46" s="55"/>
      <c r="G46" s="24">
        <f>+G43+G19</f>
        <v>1811252000</v>
      </c>
      <c r="H46" s="24">
        <v>0</v>
      </c>
      <c r="I46" s="24">
        <f>+I43+I19</f>
        <v>1811252000</v>
      </c>
    </row>
    <row r="47" spans="5:9" ht="13.5" thickBot="1">
      <c r="E47" s="56" t="s">
        <v>351</v>
      </c>
      <c r="F47" s="56"/>
      <c r="G47" s="26">
        <f>SUM(G46:G46)</f>
        <v>1811252000</v>
      </c>
      <c r="H47" s="26">
        <f>SUM(H46:H46)</f>
        <v>0</v>
      </c>
      <c r="I47" s="26">
        <f>SUM(I46:I46)</f>
        <v>1811252000</v>
      </c>
    </row>
    <row r="48" ht="7.5" customHeight="1"/>
    <row r="49" spans="1:6" ht="12.75">
      <c r="A49" s="8" t="s">
        <v>774</v>
      </c>
      <c r="B49" s="9" t="s">
        <v>766</v>
      </c>
      <c r="C49" s="8"/>
      <c r="D49" s="9"/>
      <c r="E49" s="57" t="s">
        <v>775</v>
      </c>
      <c r="F49" s="57"/>
    </row>
    <row r="50" spans="1:6" ht="26.25" customHeight="1">
      <c r="A50" s="8"/>
      <c r="B50" s="9"/>
      <c r="C50" s="8" t="s">
        <v>767</v>
      </c>
      <c r="D50" s="9"/>
      <c r="E50" s="57" t="s">
        <v>768</v>
      </c>
      <c r="F50" s="57"/>
    </row>
    <row r="51" spans="4:9" ht="12.75">
      <c r="D51" s="5" t="s">
        <v>911</v>
      </c>
      <c r="E51" s="55" t="s">
        <v>199</v>
      </c>
      <c r="F51" s="55"/>
      <c r="G51" s="24">
        <v>25812000</v>
      </c>
      <c r="H51" s="24">
        <v>0</v>
      </c>
      <c r="I51" s="24">
        <f aca="true" t="shared" si="2" ref="I51:I61">G51+H51</f>
        <v>25812000</v>
      </c>
    </row>
    <row r="52" spans="4:9" ht="12.75">
      <c r="D52" s="5" t="s">
        <v>912</v>
      </c>
      <c r="E52" s="55" t="s">
        <v>877</v>
      </c>
      <c r="F52" s="55"/>
      <c r="G52" s="24">
        <v>4653000</v>
      </c>
      <c r="H52" s="24">
        <v>0</v>
      </c>
      <c r="I52" s="24">
        <f t="shared" si="2"/>
        <v>4653000</v>
      </c>
    </row>
    <row r="53" spans="4:9" ht="12.75">
      <c r="D53" s="5" t="s">
        <v>918</v>
      </c>
      <c r="E53" s="55" t="s">
        <v>878</v>
      </c>
      <c r="F53" s="55"/>
      <c r="G53" s="24">
        <v>75000</v>
      </c>
      <c r="H53" s="24">
        <v>0</v>
      </c>
      <c r="I53" s="24">
        <f t="shared" si="2"/>
        <v>75000</v>
      </c>
    </row>
    <row r="54" spans="4:9" ht="12.75">
      <c r="D54" s="5" t="s">
        <v>921</v>
      </c>
      <c r="E54" s="55" t="s">
        <v>880</v>
      </c>
      <c r="F54" s="55"/>
      <c r="G54" s="24">
        <v>300000</v>
      </c>
      <c r="H54" s="24">
        <v>0</v>
      </c>
      <c r="I54" s="24">
        <f t="shared" si="2"/>
        <v>300000</v>
      </c>
    </row>
    <row r="55" spans="4:9" ht="12.75">
      <c r="D55" s="5" t="s">
        <v>919</v>
      </c>
      <c r="E55" s="55" t="s">
        <v>200</v>
      </c>
      <c r="F55" s="55"/>
      <c r="G55" s="24">
        <v>750000</v>
      </c>
      <c r="H55" s="24">
        <v>0</v>
      </c>
      <c r="I55" s="24">
        <f t="shared" si="2"/>
        <v>750000</v>
      </c>
    </row>
    <row r="56" spans="4:9" ht="12.75">
      <c r="D56" s="5" t="s">
        <v>913</v>
      </c>
      <c r="E56" s="55" t="s">
        <v>881</v>
      </c>
      <c r="F56" s="55"/>
      <c r="G56" s="24">
        <v>3683000</v>
      </c>
      <c r="H56" s="24">
        <v>0</v>
      </c>
      <c r="I56" s="24">
        <f t="shared" si="2"/>
        <v>3683000</v>
      </c>
    </row>
    <row r="57" spans="4:9" ht="12.75">
      <c r="D57" s="5" t="s">
        <v>915</v>
      </c>
      <c r="E57" s="55" t="s">
        <v>879</v>
      </c>
      <c r="F57" s="55"/>
      <c r="G57" s="24">
        <v>6450000</v>
      </c>
      <c r="H57" s="24">
        <v>0</v>
      </c>
      <c r="I57" s="24">
        <f t="shared" si="2"/>
        <v>6450000</v>
      </c>
    </row>
    <row r="58" spans="4:9" ht="12.75">
      <c r="D58" s="5" t="s">
        <v>916</v>
      </c>
      <c r="E58" s="55" t="s">
        <v>882</v>
      </c>
      <c r="F58" s="55"/>
      <c r="G58" s="24">
        <v>3200000</v>
      </c>
      <c r="H58" s="24">
        <v>0</v>
      </c>
      <c r="I58" s="24">
        <f t="shared" si="2"/>
        <v>3200000</v>
      </c>
    </row>
    <row r="59" spans="4:9" ht="12.75">
      <c r="D59" s="5" t="s">
        <v>924</v>
      </c>
      <c r="E59" s="55" t="s">
        <v>203</v>
      </c>
      <c r="F59" s="55"/>
      <c r="G59" s="24">
        <v>150000</v>
      </c>
      <c r="H59" s="24">
        <v>0</v>
      </c>
      <c r="I59" s="24">
        <f t="shared" si="2"/>
        <v>150000</v>
      </c>
    </row>
    <row r="60" spans="4:9" ht="12.75">
      <c r="D60" s="5" t="s">
        <v>925</v>
      </c>
      <c r="E60" s="55" t="s">
        <v>884</v>
      </c>
      <c r="F60" s="55"/>
      <c r="G60" s="24">
        <v>1160000</v>
      </c>
      <c r="H60" s="24">
        <v>0</v>
      </c>
      <c r="I60" s="24">
        <f t="shared" si="2"/>
        <v>1160000</v>
      </c>
    </row>
    <row r="61" spans="4:9" ht="13.5" thickBot="1">
      <c r="D61" s="5" t="s">
        <v>927</v>
      </c>
      <c r="E61" s="55" t="s">
        <v>886</v>
      </c>
      <c r="F61" s="55"/>
      <c r="G61" s="24">
        <v>645000</v>
      </c>
      <c r="H61" s="24">
        <v>0</v>
      </c>
      <c r="I61" s="24">
        <f t="shared" si="2"/>
        <v>645000</v>
      </c>
    </row>
    <row r="62" spans="5:9" ht="12.75">
      <c r="E62" s="58" t="s">
        <v>342</v>
      </c>
      <c r="F62" s="58"/>
      <c r="G62" s="25"/>
      <c r="H62" s="25"/>
      <c r="I62" s="25"/>
    </row>
    <row r="63" spans="4:9" ht="13.5" thickBot="1">
      <c r="D63" s="5" t="s">
        <v>772</v>
      </c>
      <c r="E63" s="55" t="s">
        <v>773</v>
      </c>
      <c r="F63" s="55"/>
      <c r="G63" s="24">
        <f>SUM(G51:G62)</f>
        <v>46878000</v>
      </c>
      <c r="I63" s="24">
        <f>SUM(I51:I62)</f>
        <v>46878000</v>
      </c>
    </row>
    <row r="64" spans="5:9" ht="13.5" thickBot="1">
      <c r="E64" s="56" t="s">
        <v>343</v>
      </c>
      <c r="F64" s="56"/>
      <c r="G64" s="26">
        <f>SUM(G63:G63)</f>
        <v>46878000</v>
      </c>
      <c r="H64" s="26">
        <f>SUM(H63:H63)</f>
        <v>0</v>
      </c>
      <c r="I64" s="26">
        <f>G64+H64</f>
        <v>46878000</v>
      </c>
    </row>
    <row r="65" ht="9.75" customHeight="1"/>
    <row r="66" spans="1:6" ht="12.75">
      <c r="A66" s="8"/>
      <c r="B66" s="9"/>
      <c r="C66" s="8" t="s">
        <v>776</v>
      </c>
      <c r="D66" s="9"/>
      <c r="E66" s="57" t="s">
        <v>777</v>
      </c>
      <c r="F66" s="57"/>
    </row>
    <row r="67" spans="4:9" ht="12.75">
      <c r="D67" s="5" t="s">
        <v>911</v>
      </c>
      <c r="E67" s="55" t="s">
        <v>199</v>
      </c>
      <c r="F67" s="55"/>
      <c r="G67" s="24">
        <v>12589000</v>
      </c>
      <c r="H67" s="24">
        <v>0</v>
      </c>
      <c r="I67" s="24">
        <f aca="true" t="shared" si="3" ref="I67:I77">G67+H67</f>
        <v>12589000</v>
      </c>
    </row>
    <row r="68" spans="4:9" ht="12.75">
      <c r="D68" s="5" t="s">
        <v>912</v>
      </c>
      <c r="E68" s="55" t="s">
        <v>877</v>
      </c>
      <c r="F68" s="55"/>
      <c r="G68" s="24">
        <v>2275000</v>
      </c>
      <c r="H68" s="24">
        <v>0</v>
      </c>
      <c r="I68" s="24">
        <f t="shared" si="3"/>
        <v>2275000</v>
      </c>
    </row>
    <row r="69" spans="4:9" ht="12.75">
      <c r="D69" s="5" t="s">
        <v>918</v>
      </c>
      <c r="E69" s="55" t="s">
        <v>878</v>
      </c>
      <c r="F69" s="55"/>
      <c r="G69" s="24">
        <v>50000</v>
      </c>
      <c r="H69" s="24">
        <v>0</v>
      </c>
      <c r="I69" s="24">
        <f t="shared" si="3"/>
        <v>50000</v>
      </c>
    </row>
    <row r="70" spans="4:9" ht="12.75">
      <c r="D70" s="5" t="s">
        <v>921</v>
      </c>
      <c r="E70" s="55" t="s">
        <v>880</v>
      </c>
      <c r="F70" s="55"/>
      <c r="G70" s="24">
        <v>1070000</v>
      </c>
      <c r="H70" s="24">
        <v>0</v>
      </c>
      <c r="I70" s="24">
        <f t="shared" si="3"/>
        <v>1070000</v>
      </c>
    </row>
    <row r="71" spans="4:9" ht="12.75">
      <c r="D71" s="5" t="s">
        <v>919</v>
      </c>
      <c r="E71" s="55" t="s">
        <v>200</v>
      </c>
      <c r="F71" s="55"/>
      <c r="G71" s="24">
        <v>300000</v>
      </c>
      <c r="H71" s="24">
        <v>0</v>
      </c>
      <c r="I71" s="24">
        <f t="shared" si="3"/>
        <v>300000</v>
      </c>
    </row>
    <row r="72" spans="4:9" ht="12.75">
      <c r="D72" s="5" t="s">
        <v>913</v>
      </c>
      <c r="E72" s="55" t="s">
        <v>881</v>
      </c>
      <c r="F72" s="55"/>
      <c r="G72" s="24">
        <v>1000000</v>
      </c>
      <c r="H72" s="24">
        <v>0</v>
      </c>
      <c r="I72" s="24">
        <f t="shared" si="3"/>
        <v>1000000</v>
      </c>
    </row>
    <row r="73" spans="4:9" ht="12.75">
      <c r="D73" s="5" t="s">
        <v>915</v>
      </c>
      <c r="E73" s="55" t="s">
        <v>879</v>
      </c>
      <c r="F73" s="55"/>
      <c r="G73" s="24">
        <v>250000</v>
      </c>
      <c r="H73" s="24">
        <v>0</v>
      </c>
      <c r="I73" s="24">
        <f t="shared" si="3"/>
        <v>250000</v>
      </c>
    </row>
    <row r="74" spans="4:9" ht="12.75">
      <c r="D74" s="5" t="s">
        <v>916</v>
      </c>
      <c r="E74" s="55" t="s">
        <v>882</v>
      </c>
      <c r="F74" s="55"/>
      <c r="G74" s="24">
        <v>820000</v>
      </c>
      <c r="H74" s="24">
        <v>0</v>
      </c>
      <c r="I74" s="24">
        <f t="shared" si="3"/>
        <v>820000</v>
      </c>
    </row>
    <row r="75" spans="4:9" ht="12.75">
      <c r="D75" s="5" t="s">
        <v>924</v>
      </c>
      <c r="E75" s="55" t="s">
        <v>203</v>
      </c>
      <c r="F75" s="55"/>
      <c r="G75" s="24">
        <v>40000</v>
      </c>
      <c r="H75" s="24">
        <v>0</v>
      </c>
      <c r="I75" s="24">
        <f t="shared" si="3"/>
        <v>40000</v>
      </c>
    </row>
    <row r="76" spans="4:9" ht="12.75">
      <c r="D76" s="5" t="s">
        <v>925</v>
      </c>
      <c r="E76" s="55" t="s">
        <v>884</v>
      </c>
      <c r="F76" s="55"/>
      <c r="G76" s="24">
        <v>200000</v>
      </c>
      <c r="H76" s="24">
        <v>0</v>
      </c>
      <c r="I76" s="24">
        <f t="shared" si="3"/>
        <v>200000</v>
      </c>
    </row>
    <row r="77" spans="4:9" ht="13.5" thickBot="1">
      <c r="D77" s="5" t="s">
        <v>927</v>
      </c>
      <c r="E77" s="55" t="s">
        <v>886</v>
      </c>
      <c r="F77" s="55"/>
      <c r="G77" s="24">
        <v>115000</v>
      </c>
      <c r="H77" s="24">
        <v>750000</v>
      </c>
      <c r="I77" s="24">
        <f t="shared" si="3"/>
        <v>865000</v>
      </c>
    </row>
    <row r="78" spans="5:9" ht="12.75">
      <c r="E78" s="58" t="s">
        <v>352</v>
      </c>
      <c r="F78" s="58"/>
      <c r="G78" s="25"/>
      <c r="H78" s="25"/>
      <c r="I78" s="25"/>
    </row>
    <row r="79" spans="4:9" ht="12.75">
      <c r="D79" s="5" t="s">
        <v>772</v>
      </c>
      <c r="E79" s="55" t="s">
        <v>773</v>
      </c>
      <c r="F79" s="55"/>
      <c r="G79" s="24">
        <f>SUM(G67:G78)</f>
        <v>18709000</v>
      </c>
      <c r="I79" s="24">
        <f>G79+H79</f>
        <v>18709000</v>
      </c>
    </row>
    <row r="80" spans="4:9" ht="12.75">
      <c r="D80" s="5" t="s">
        <v>778</v>
      </c>
      <c r="E80" s="55" t="s">
        <v>779</v>
      </c>
      <c r="F80" s="55"/>
      <c r="H80" s="24">
        <v>250000</v>
      </c>
      <c r="I80" s="24">
        <f>G80+H80</f>
        <v>250000</v>
      </c>
    </row>
    <row r="81" spans="4:9" ht="13.5" thickBot="1">
      <c r="D81" s="5" t="s">
        <v>780</v>
      </c>
      <c r="E81" s="55" t="s">
        <v>781</v>
      </c>
      <c r="F81" s="55"/>
      <c r="H81" s="24">
        <v>500000</v>
      </c>
      <c r="I81" s="24">
        <f>G81+H81</f>
        <v>500000</v>
      </c>
    </row>
    <row r="82" spans="5:9" ht="13.5" thickBot="1">
      <c r="E82" s="56" t="s">
        <v>353</v>
      </c>
      <c r="F82" s="56"/>
      <c r="G82" s="26">
        <f>SUM(G79:G81)</f>
        <v>18709000</v>
      </c>
      <c r="H82" s="26">
        <f>SUM(H79:H81)</f>
        <v>750000</v>
      </c>
      <c r="I82" s="26">
        <f>G82+H82</f>
        <v>19459000</v>
      </c>
    </row>
    <row r="83" spans="5:9" ht="12.75">
      <c r="E83" s="58" t="s">
        <v>354</v>
      </c>
      <c r="F83" s="58"/>
      <c r="G83" s="25"/>
      <c r="H83" s="25"/>
      <c r="I83" s="25"/>
    </row>
    <row r="84" spans="4:9" ht="12.75">
      <c r="D84" s="5" t="s">
        <v>772</v>
      </c>
      <c r="E84" s="55" t="s">
        <v>773</v>
      </c>
      <c r="F84" s="55"/>
      <c r="G84" s="24">
        <f>+G79+G63</f>
        <v>65587000</v>
      </c>
      <c r="H84" s="24">
        <v>0</v>
      </c>
      <c r="I84" s="24">
        <f>G84+H84</f>
        <v>65587000</v>
      </c>
    </row>
    <row r="85" spans="4:9" ht="12.75">
      <c r="D85" s="5" t="s">
        <v>778</v>
      </c>
      <c r="E85" s="55" t="s">
        <v>779</v>
      </c>
      <c r="F85" s="55"/>
      <c r="G85" s="24">
        <v>0</v>
      </c>
      <c r="H85" s="24">
        <f>+H80</f>
        <v>250000</v>
      </c>
      <c r="I85" s="24">
        <f>G85+H85</f>
        <v>250000</v>
      </c>
    </row>
    <row r="86" spans="4:9" ht="13.5" thickBot="1">
      <c r="D86" s="5" t="s">
        <v>780</v>
      </c>
      <c r="E86" s="55" t="s">
        <v>781</v>
      </c>
      <c r="F86" s="55"/>
      <c r="G86" s="24">
        <v>0</v>
      </c>
      <c r="H86" s="24">
        <f>+H81</f>
        <v>500000</v>
      </c>
      <c r="I86" s="24">
        <f>G86+H86</f>
        <v>500000</v>
      </c>
    </row>
    <row r="87" spans="5:9" ht="13.5" thickBot="1">
      <c r="E87" s="56" t="s">
        <v>355</v>
      </c>
      <c r="F87" s="56"/>
      <c r="G87" s="26">
        <f>SUM(G84:G86)</f>
        <v>65587000</v>
      </c>
      <c r="H87" s="26">
        <f>SUM(H84:H86)</f>
        <v>750000</v>
      </c>
      <c r="I87" s="26">
        <f>G87+H87</f>
        <v>66337000</v>
      </c>
    </row>
    <row r="88" ht="9" customHeight="1"/>
    <row r="89" spans="1:6" ht="15.75" customHeight="1">
      <c r="A89" s="8">
        <v>3</v>
      </c>
      <c r="E89" s="61" t="s">
        <v>63</v>
      </c>
      <c r="F89" s="61"/>
    </row>
    <row r="90" spans="1:6" ht="12.75">
      <c r="A90" s="8" t="s">
        <v>766</v>
      </c>
      <c r="B90" s="9" t="s">
        <v>815</v>
      </c>
      <c r="C90" s="8"/>
      <c r="D90" s="9"/>
      <c r="E90" s="57" t="s">
        <v>901</v>
      </c>
      <c r="F90" s="57"/>
    </row>
    <row r="91" spans="1:6" ht="27" customHeight="1">
      <c r="A91" s="8"/>
      <c r="B91" s="9"/>
      <c r="C91" s="8" t="s">
        <v>767</v>
      </c>
      <c r="D91" s="9"/>
      <c r="E91" s="57" t="s">
        <v>768</v>
      </c>
      <c r="F91" s="57"/>
    </row>
    <row r="92" spans="4:9" ht="12.75">
      <c r="D92" s="5" t="s">
        <v>911</v>
      </c>
      <c r="E92" s="55" t="s">
        <v>199</v>
      </c>
      <c r="F92" s="55"/>
      <c r="G92" s="24">
        <v>5861000</v>
      </c>
      <c r="H92" s="24">
        <v>0</v>
      </c>
      <c r="I92" s="24">
        <f aca="true" t="shared" si="4" ref="I92:I101">G92+H92</f>
        <v>5861000</v>
      </c>
    </row>
    <row r="93" spans="4:9" ht="12.75">
      <c r="D93" s="5" t="s">
        <v>912</v>
      </c>
      <c r="E93" s="55" t="s">
        <v>877</v>
      </c>
      <c r="F93" s="55"/>
      <c r="G93" s="24">
        <v>1058000</v>
      </c>
      <c r="H93" s="24">
        <v>0</v>
      </c>
      <c r="I93" s="24">
        <f t="shared" si="4"/>
        <v>1058000</v>
      </c>
    </row>
    <row r="94" spans="4:9" ht="12.75">
      <c r="D94" s="5" t="s">
        <v>918</v>
      </c>
      <c r="E94" s="55" t="s">
        <v>878</v>
      </c>
      <c r="F94" s="55"/>
      <c r="G94" s="24">
        <v>62000</v>
      </c>
      <c r="H94" s="24">
        <v>0</v>
      </c>
      <c r="I94" s="24">
        <f t="shared" si="4"/>
        <v>62000</v>
      </c>
    </row>
    <row r="95" spans="4:9" ht="12.75">
      <c r="D95" s="5" t="s">
        <v>921</v>
      </c>
      <c r="E95" s="55" t="s">
        <v>880</v>
      </c>
      <c r="F95" s="55"/>
      <c r="G95" s="24">
        <v>15000</v>
      </c>
      <c r="H95" s="24">
        <v>0</v>
      </c>
      <c r="I95" s="24">
        <f t="shared" si="4"/>
        <v>15000</v>
      </c>
    </row>
    <row r="96" spans="4:9" ht="12.75">
      <c r="D96" s="5" t="s">
        <v>919</v>
      </c>
      <c r="E96" s="55" t="s">
        <v>200</v>
      </c>
      <c r="F96" s="55"/>
      <c r="G96" s="24">
        <v>100000</v>
      </c>
      <c r="H96" s="24">
        <v>0</v>
      </c>
      <c r="I96" s="24">
        <f t="shared" si="4"/>
        <v>100000</v>
      </c>
    </row>
    <row r="97" spans="4:9" ht="12.75">
      <c r="D97" s="5" t="s">
        <v>913</v>
      </c>
      <c r="E97" s="55" t="s">
        <v>881</v>
      </c>
      <c r="F97" s="55"/>
      <c r="G97" s="24">
        <v>1750000</v>
      </c>
      <c r="H97" s="24">
        <v>0</v>
      </c>
      <c r="I97" s="24">
        <f t="shared" si="4"/>
        <v>1750000</v>
      </c>
    </row>
    <row r="98" spans="4:9" ht="12.75">
      <c r="D98" s="5" t="s">
        <v>915</v>
      </c>
      <c r="E98" s="55" t="s">
        <v>879</v>
      </c>
      <c r="F98" s="55"/>
      <c r="G98" s="24">
        <v>200000</v>
      </c>
      <c r="H98" s="24">
        <v>0</v>
      </c>
      <c r="I98" s="24">
        <f t="shared" si="4"/>
        <v>200000</v>
      </c>
    </row>
    <row r="99" spans="4:9" ht="12.75">
      <c r="D99" s="5" t="s">
        <v>916</v>
      </c>
      <c r="E99" s="55" t="s">
        <v>882</v>
      </c>
      <c r="F99" s="55"/>
      <c r="G99" s="24">
        <v>7897000</v>
      </c>
      <c r="H99" s="24">
        <v>0</v>
      </c>
      <c r="I99" s="24">
        <f t="shared" si="4"/>
        <v>7897000</v>
      </c>
    </row>
    <row r="100" spans="4:9" ht="12.75">
      <c r="D100" s="5" t="s">
        <v>924</v>
      </c>
      <c r="E100" s="55" t="s">
        <v>203</v>
      </c>
      <c r="F100" s="55"/>
      <c r="G100" s="24">
        <v>15000</v>
      </c>
      <c r="H100" s="24">
        <v>0</v>
      </c>
      <c r="I100" s="24">
        <f t="shared" si="4"/>
        <v>15000</v>
      </c>
    </row>
    <row r="101" spans="4:9" ht="13.5" thickBot="1">
      <c r="D101" s="5" t="s">
        <v>925</v>
      </c>
      <c r="E101" s="55" t="s">
        <v>884</v>
      </c>
      <c r="F101" s="55"/>
      <c r="G101" s="24">
        <v>1000000</v>
      </c>
      <c r="H101" s="24">
        <v>0</v>
      </c>
      <c r="I101" s="24">
        <f t="shared" si="4"/>
        <v>1000000</v>
      </c>
    </row>
    <row r="102" spans="5:9" ht="12.75">
      <c r="E102" s="58" t="s">
        <v>342</v>
      </c>
      <c r="F102" s="58"/>
      <c r="G102" s="25"/>
      <c r="H102" s="25"/>
      <c r="I102" s="25"/>
    </row>
    <row r="103" spans="4:9" ht="13.5" thickBot="1">
      <c r="D103" s="5" t="s">
        <v>772</v>
      </c>
      <c r="E103" s="55" t="s">
        <v>773</v>
      </c>
      <c r="F103" s="55"/>
      <c r="G103" s="24">
        <f>SUM(G92:G102)</f>
        <v>17958000</v>
      </c>
      <c r="I103" s="24">
        <f>G103+H103</f>
        <v>17958000</v>
      </c>
    </row>
    <row r="104" spans="5:9" ht="13.5" thickBot="1">
      <c r="E104" s="56" t="s">
        <v>343</v>
      </c>
      <c r="F104" s="56"/>
      <c r="G104" s="26">
        <f>SUM(G103:G103)</f>
        <v>17958000</v>
      </c>
      <c r="H104" s="26">
        <f>SUM(H103:H103)</f>
        <v>0</v>
      </c>
      <c r="I104" s="26">
        <f>G104+H104</f>
        <v>17958000</v>
      </c>
    </row>
    <row r="105" spans="5:9" ht="12.75">
      <c r="E105" s="58" t="s">
        <v>356</v>
      </c>
      <c r="F105" s="58"/>
      <c r="G105" s="25"/>
      <c r="H105" s="25"/>
      <c r="I105" s="25"/>
    </row>
    <row r="106" spans="4:9" ht="13.5" thickBot="1">
      <c r="D106" s="5" t="s">
        <v>772</v>
      </c>
      <c r="E106" s="55" t="s">
        <v>773</v>
      </c>
      <c r="F106" s="55"/>
      <c r="G106" s="24">
        <f>+G103</f>
        <v>17958000</v>
      </c>
      <c r="H106" s="24">
        <v>0</v>
      </c>
      <c r="I106" s="24">
        <f>G106+H106</f>
        <v>17958000</v>
      </c>
    </row>
    <row r="107" spans="5:9" ht="13.5" thickBot="1">
      <c r="E107" s="56" t="s">
        <v>357</v>
      </c>
      <c r="F107" s="56"/>
      <c r="G107" s="26">
        <f>SUM(G106:G106)</f>
        <v>17958000</v>
      </c>
      <c r="H107" s="26">
        <f>SUM(H106:H106)</f>
        <v>0</v>
      </c>
      <c r="I107" s="26">
        <f>G107+H107</f>
        <v>17958000</v>
      </c>
    </row>
    <row r="108" ht="8.25" customHeight="1"/>
    <row r="109" spans="1:6" ht="12.75">
      <c r="A109" s="8" t="s">
        <v>766</v>
      </c>
      <c r="B109" s="9" t="s">
        <v>816</v>
      </c>
      <c r="C109" s="8"/>
      <c r="D109" s="9"/>
      <c r="E109" s="57" t="s">
        <v>941</v>
      </c>
      <c r="F109" s="57"/>
    </row>
    <row r="110" spans="1:6" ht="26.25" customHeight="1">
      <c r="A110" s="8"/>
      <c r="B110" s="9"/>
      <c r="C110" s="8" t="s">
        <v>767</v>
      </c>
      <c r="D110" s="9"/>
      <c r="E110" s="57" t="s">
        <v>768</v>
      </c>
      <c r="F110" s="57"/>
    </row>
    <row r="111" spans="4:9" ht="12.75">
      <c r="D111" s="5" t="s">
        <v>911</v>
      </c>
      <c r="E111" s="55" t="s">
        <v>199</v>
      </c>
      <c r="F111" s="55"/>
      <c r="G111" s="24">
        <v>845000</v>
      </c>
      <c r="H111" s="24">
        <v>0</v>
      </c>
      <c r="I111" s="24">
        <f aca="true" t="shared" si="5" ref="I111:I120">G111+H111</f>
        <v>845000</v>
      </c>
    </row>
    <row r="112" spans="4:9" ht="12.75">
      <c r="D112" s="5" t="s">
        <v>912</v>
      </c>
      <c r="E112" s="55" t="s">
        <v>877</v>
      </c>
      <c r="F112" s="55"/>
      <c r="G112" s="24">
        <v>152000</v>
      </c>
      <c r="H112" s="24">
        <v>0</v>
      </c>
      <c r="I112" s="24">
        <f t="shared" si="5"/>
        <v>152000</v>
      </c>
    </row>
    <row r="113" spans="4:9" ht="12.75">
      <c r="D113" s="5" t="s">
        <v>918</v>
      </c>
      <c r="E113" s="55" t="s">
        <v>878</v>
      </c>
      <c r="F113" s="55"/>
      <c r="G113" s="24">
        <v>25000</v>
      </c>
      <c r="H113" s="24">
        <v>0</v>
      </c>
      <c r="I113" s="24">
        <f t="shared" si="5"/>
        <v>25000</v>
      </c>
    </row>
    <row r="114" spans="4:9" ht="12.75">
      <c r="D114" s="5" t="s">
        <v>921</v>
      </c>
      <c r="E114" s="55" t="s">
        <v>880</v>
      </c>
      <c r="F114" s="55"/>
      <c r="G114" s="24">
        <v>20000</v>
      </c>
      <c r="H114" s="24">
        <v>0</v>
      </c>
      <c r="I114" s="24">
        <f t="shared" si="5"/>
        <v>20000</v>
      </c>
    </row>
    <row r="115" spans="4:9" ht="12.75">
      <c r="D115" s="5" t="s">
        <v>919</v>
      </c>
      <c r="E115" s="55" t="s">
        <v>200</v>
      </c>
      <c r="F115" s="55"/>
      <c r="G115" s="24">
        <v>82000</v>
      </c>
      <c r="H115" s="24">
        <v>0</v>
      </c>
      <c r="I115" s="24">
        <f t="shared" si="5"/>
        <v>82000</v>
      </c>
    </row>
    <row r="116" spans="4:9" ht="12.75">
      <c r="D116" s="5" t="s">
        <v>913</v>
      </c>
      <c r="E116" s="55" t="s">
        <v>881</v>
      </c>
      <c r="F116" s="55"/>
      <c r="G116" s="24">
        <v>1000000</v>
      </c>
      <c r="H116" s="24">
        <v>0</v>
      </c>
      <c r="I116" s="24">
        <f t="shared" si="5"/>
        <v>1000000</v>
      </c>
    </row>
    <row r="117" spans="4:9" ht="12.75">
      <c r="D117" s="5" t="s">
        <v>915</v>
      </c>
      <c r="E117" s="55" t="s">
        <v>879</v>
      </c>
      <c r="F117" s="55"/>
      <c r="G117" s="24">
        <v>200000</v>
      </c>
      <c r="H117" s="24">
        <v>0</v>
      </c>
      <c r="I117" s="24">
        <f t="shared" si="5"/>
        <v>200000</v>
      </c>
    </row>
    <row r="118" spans="4:9" ht="12.75">
      <c r="D118" s="5" t="s">
        <v>916</v>
      </c>
      <c r="E118" s="55" t="s">
        <v>882</v>
      </c>
      <c r="F118" s="55"/>
      <c r="G118" s="24">
        <v>1330000</v>
      </c>
      <c r="H118" s="24">
        <v>0</v>
      </c>
      <c r="I118" s="24">
        <f t="shared" si="5"/>
        <v>1330000</v>
      </c>
    </row>
    <row r="119" spans="4:9" ht="12.75">
      <c r="D119" s="5" t="s">
        <v>924</v>
      </c>
      <c r="E119" s="55" t="s">
        <v>203</v>
      </c>
      <c r="F119" s="55"/>
      <c r="G119" s="24">
        <v>10000</v>
      </c>
      <c r="H119" s="24">
        <v>0</v>
      </c>
      <c r="I119" s="24">
        <f t="shared" si="5"/>
        <v>10000</v>
      </c>
    </row>
    <row r="120" spans="4:9" ht="13.5" thickBot="1">
      <c r="D120" s="5" t="s">
        <v>925</v>
      </c>
      <c r="E120" s="55" t="s">
        <v>884</v>
      </c>
      <c r="F120" s="55"/>
      <c r="G120" s="24">
        <v>246000</v>
      </c>
      <c r="H120" s="24">
        <v>0</v>
      </c>
      <c r="I120" s="24">
        <f t="shared" si="5"/>
        <v>246000</v>
      </c>
    </row>
    <row r="121" spans="5:9" ht="12.75">
      <c r="E121" s="58" t="s">
        <v>342</v>
      </c>
      <c r="F121" s="58"/>
      <c r="G121" s="25"/>
      <c r="H121" s="25"/>
      <c r="I121" s="25"/>
    </row>
    <row r="122" spans="4:9" ht="13.5" thickBot="1">
      <c r="D122" s="5" t="s">
        <v>772</v>
      </c>
      <c r="E122" s="55" t="s">
        <v>773</v>
      </c>
      <c r="F122" s="55"/>
      <c r="G122" s="24">
        <f>SUM(G111:G121)</f>
        <v>3910000</v>
      </c>
      <c r="I122" s="24">
        <f>G122+H122</f>
        <v>3910000</v>
      </c>
    </row>
    <row r="123" spans="5:9" ht="13.5" thickBot="1">
      <c r="E123" s="56" t="s">
        <v>343</v>
      </c>
      <c r="F123" s="56"/>
      <c r="G123" s="26">
        <f>SUM(G122:G122)</f>
        <v>3910000</v>
      </c>
      <c r="H123" s="26">
        <f>SUM(H122:H122)</f>
        <v>0</v>
      </c>
      <c r="I123" s="26">
        <f>G123+H123</f>
        <v>3910000</v>
      </c>
    </row>
    <row r="124" spans="5:9" ht="12.75">
      <c r="E124" s="58" t="s">
        <v>359</v>
      </c>
      <c r="F124" s="58"/>
      <c r="G124" s="25"/>
      <c r="H124" s="25"/>
      <c r="I124" s="25"/>
    </row>
    <row r="125" spans="4:9" ht="13.5" thickBot="1">
      <c r="D125" s="5" t="s">
        <v>772</v>
      </c>
      <c r="E125" s="55" t="s">
        <v>773</v>
      </c>
      <c r="F125" s="55"/>
      <c r="G125" s="24">
        <f>+G122</f>
        <v>3910000</v>
      </c>
      <c r="H125" s="24">
        <v>0</v>
      </c>
      <c r="I125" s="24">
        <f>G125+H125</f>
        <v>3910000</v>
      </c>
    </row>
    <row r="126" spans="5:9" ht="13.5" thickBot="1">
      <c r="E126" s="56" t="s">
        <v>360</v>
      </c>
      <c r="F126" s="56"/>
      <c r="G126" s="26">
        <f>SUM(G125:G125)</f>
        <v>3910000</v>
      </c>
      <c r="H126" s="26">
        <f>SUM(H125:H125)</f>
        <v>0</v>
      </c>
      <c r="I126" s="26">
        <f>G126+H126</f>
        <v>3910000</v>
      </c>
    </row>
    <row r="127" ht="6" customHeight="1"/>
    <row r="128" spans="1:6" ht="12.75">
      <c r="A128" s="8" t="s">
        <v>766</v>
      </c>
      <c r="B128" s="9" t="s">
        <v>817</v>
      </c>
      <c r="C128" s="8"/>
      <c r="D128" s="9"/>
      <c r="E128" s="57" t="s">
        <v>942</v>
      </c>
      <c r="F128" s="57"/>
    </row>
    <row r="129" spans="1:6" ht="27.75" customHeight="1">
      <c r="A129" s="8"/>
      <c r="B129" s="9"/>
      <c r="C129" s="8" t="s">
        <v>767</v>
      </c>
      <c r="D129" s="9"/>
      <c r="E129" s="57" t="s">
        <v>768</v>
      </c>
      <c r="F129" s="57"/>
    </row>
    <row r="130" spans="4:9" ht="12.75">
      <c r="D130" s="5" t="s">
        <v>911</v>
      </c>
      <c r="E130" s="55" t="s">
        <v>199</v>
      </c>
      <c r="F130" s="55"/>
      <c r="G130" s="24">
        <v>54824000</v>
      </c>
      <c r="H130" s="24">
        <v>0</v>
      </c>
      <c r="I130" s="24">
        <f aca="true" t="shared" si="6" ref="I130:I142">G130+H130</f>
        <v>54824000</v>
      </c>
    </row>
    <row r="131" spans="4:9" ht="12.75">
      <c r="D131" s="5" t="s">
        <v>912</v>
      </c>
      <c r="E131" s="55" t="s">
        <v>877</v>
      </c>
      <c r="F131" s="55"/>
      <c r="G131" s="24">
        <v>10118000</v>
      </c>
      <c r="H131" s="24">
        <v>0</v>
      </c>
      <c r="I131" s="24">
        <f t="shared" si="6"/>
        <v>10118000</v>
      </c>
    </row>
    <row r="132" spans="4:9" ht="12.75">
      <c r="D132" s="5" t="s">
        <v>918</v>
      </c>
      <c r="E132" s="55" t="s">
        <v>878</v>
      </c>
      <c r="F132" s="55"/>
      <c r="G132" s="24">
        <v>262000</v>
      </c>
      <c r="H132" s="24">
        <v>0</v>
      </c>
      <c r="I132" s="24">
        <f t="shared" si="6"/>
        <v>262000</v>
      </c>
    </row>
    <row r="133" spans="4:9" ht="12.75">
      <c r="D133" s="5" t="s">
        <v>921</v>
      </c>
      <c r="E133" s="55" t="s">
        <v>880</v>
      </c>
      <c r="F133" s="55"/>
      <c r="G133" s="24">
        <v>150000</v>
      </c>
      <c r="H133" s="24">
        <v>0</v>
      </c>
      <c r="I133" s="24">
        <f t="shared" si="6"/>
        <v>150000</v>
      </c>
    </row>
    <row r="134" spans="4:9" ht="12.75">
      <c r="D134" s="5" t="s">
        <v>919</v>
      </c>
      <c r="E134" s="55" t="s">
        <v>200</v>
      </c>
      <c r="F134" s="55"/>
      <c r="G134" s="24">
        <v>1000000</v>
      </c>
      <c r="H134" s="24">
        <v>0</v>
      </c>
      <c r="I134" s="24">
        <f t="shared" si="6"/>
        <v>1000000</v>
      </c>
    </row>
    <row r="135" spans="4:9" ht="12.75">
      <c r="D135" s="5" t="s">
        <v>913</v>
      </c>
      <c r="E135" s="55" t="s">
        <v>881</v>
      </c>
      <c r="F135" s="55"/>
      <c r="G135" s="24">
        <v>12490000</v>
      </c>
      <c r="H135" s="24">
        <v>0</v>
      </c>
      <c r="I135" s="24">
        <f t="shared" si="6"/>
        <v>12490000</v>
      </c>
    </row>
    <row r="136" spans="4:9" ht="12.75">
      <c r="D136" s="5" t="s">
        <v>915</v>
      </c>
      <c r="E136" s="55" t="s">
        <v>879</v>
      </c>
      <c r="F136" s="55"/>
      <c r="G136" s="24">
        <f>24165000</f>
        <v>24165000</v>
      </c>
      <c r="H136" s="24">
        <v>0</v>
      </c>
      <c r="I136" s="24">
        <f t="shared" si="6"/>
        <v>24165000</v>
      </c>
    </row>
    <row r="137" spans="4:9" ht="12.75">
      <c r="D137" s="5" t="s">
        <v>916</v>
      </c>
      <c r="E137" s="55" t="s">
        <v>882</v>
      </c>
      <c r="F137" s="55"/>
      <c r="G137" s="24">
        <f>18189000-24000</f>
        <v>18165000</v>
      </c>
      <c r="H137" s="24">
        <v>0</v>
      </c>
      <c r="I137" s="24">
        <f t="shared" si="6"/>
        <v>18165000</v>
      </c>
    </row>
    <row r="138" spans="4:9" ht="12.75">
      <c r="D138" s="5" t="s">
        <v>924</v>
      </c>
      <c r="E138" s="55" t="s">
        <v>203</v>
      </c>
      <c r="F138" s="55"/>
      <c r="G138" s="24">
        <f>82000+24000</f>
        <v>106000</v>
      </c>
      <c r="H138" s="24">
        <v>0</v>
      </c>
      <c r="I138" s="24">
        <f t="shared" si="6"/>
        <v>106000</v>
      </c>
    </row>
    <row r="139" spans="4:9" ht="12.75">
      <c r="D139" s="5" t="s">
        <v>925</v>
      </c>
      <c r="E139" s="55" t="s">
        <v>884</v>
      </c>
      <c r="F139" s="55"/>
      <c r="G139" s="24">
        <v>1178000</v>
      </c>
      <c r="H139" s="24">
        <v>0</v>
      </c>
      <c r="I139" s="24">
        <f t="shared" si="6"/>
        <v>1178000</v>
      </c>
    </row>
    <row r="140" spans="4:9" ht="12.75">
      <c r="D140" s="5" t="s">
        <v>750</v>
      </c>
      <c r="E140" s="55" t="s">
        <v>887</v>
      </c>
      <c r="F140" s="55"/>
      <c r="G140" s="24">
        <v>16612000</v>
      </c>
      <c r="H140" s="24">
        <v>0</v>
      </c>
      <c r="I140" s="24">
        <f t="shared" si="6"/>
        <v>16612000</v>
      </c>
    </row>
    <row r="141" spans="5:6" ht="25.5" customHeight="1">
      <c r="E141" s="55" t="s">
        <v>71</v>
      </c>
      <c r="F141" s="55"/>
    </row>
    <row r="142" spans="4:9" ht="13.5" thickBot="1">
      <c r="D142" s="5" t="s">
        <v>927</v>
      </c>
      <c r="E142" s="55" t="s">
        <v>886</v>
      </c>
      <c r="F142" s="55"/>
      <c r="G142" s="24">
        <v>1311000</v>
      </c>
      <c r="H142" s="24">
        <v>0</v>
      </c>
      <c r="I142" s="24">
        <f t="shared" si="6"/>
        <v>1311000</v>
      </c>
    </row>
    <row r="143" spans="5:9" ht="12.75">
      <c r="E143" s="58" t="s">
        <v>342</v>
      </c>
      <c r="F143" s="58"/>
      <c r="G143" s="25"/>
      <c r="H143" s="25"/>
      <c r="I143" s="25"/>
    </row>
    <row r="144" spans="4:9" ht="13.5" thickBot="1">
      <c r="D144" s="5" t="s">
        <v>772</v>
      </c>
      <c r="E144" s="55" t="s">
        <v>773</v>
      </c>
      <c r="F144" s="55"/>
      <c r="G144" s="24">
        <f>SUM(G130:G143)</f>
        <v>140381000</v>
      </c>
      <c r="I144" s="24">
        <f>G144+H144</f>
        <v>140381000</v>
      </c>
    </row>
    <row r="145" spans="5:9" ht="13.5" thickBot="1">
      <c r="E145" s="56" t="s">
        <v>343</v>
      </c>
      <c r="F145" s="56"/>
      <c r="G145" s="26">
        <f>SUM(G144:G144)</f>
        <v>140381000</v>
      </c>
      <c r="H145" s="26">
        <f>SUM(H144:H144)</f>
        <v>0</v>
      </c>
      <c r="I145" s="26">
        <f>G145+H145</f>
        <v>140381000</v>
      </c>
    </row>
    <row r="146" spans="5:9" ht="12.75">
      <c r="E146" s="58" t="s">
        <v>361</v>
      </c>
      <c r="F146" s="58"/>
      <c r="G146" s="25"/>
      <c r="H146" s="25"/>
      <c r="I146" s="25"/>
    </row>
    <row r="147" spans="4:9" ht="13.5" thickBot="1">
      <c r="D147" s="5" t="s">
        <v>772</v>
      </c>
      <c r="E147" s="55" t="s">
        <v>773</v>
      </c>
      <c r="F147" s="55"/>
      <c r="G147" s="24">
        <f>+G144</f>
        <v>140381000</v>
      </c>
      <c r="H147" s="24">
        <v>0</v>
      </c>
      <c r="I147" s="24">
        <f>G147+H147</f>
        <v>140381000</v>
      </c>
    </row>
    <row r="148" spans="5:9" ht="13.5" thickBot="1">
      <c r="E148" s="56" t="s">
        <v>362</v>
      </c>
      <c r="F148" s="56"/>
      <c r="G148" s="26">
        <f>SUM(G147:G147)</f>
        <v>140381000</v>
      </c>
      <c r="H148" s="26">
        <f>SUM(H147:H147)</f>
        <v>0</v>
      </c>
      <c r="I148" s="26">
        <f>G148+H148</f>
        <v>140381000</v>
      </c>
    </row>
    <row r="150" spans="1:6" ht="12.75">
      <c r="A150" s="8" t="s">
        <v>766</v>
      </c>
      <c r="B150" s="9" t="s">
        <v>818</v>
      </c>
      <c r="C150" s="8"/>
      <c r="D150" s="9"/>
      <c r="E150" s="57" t="s">
        <v>943</v>
      </c>
      <c r="F150" s="57"/>
    </row>
    <row r="151" spans="1:6" ht="27.75" customHeight="1">
      <c r="A151" s="8"/>
      <c r="B151" s="9"/>
      <c r="C151" s="8" t="s">
        <v>767</v>
      </c>
      <c r="D151" s="9"/>
      <c r="E151" s="57" t="s">
        <v>768</v>
      </c>
      <c r="F151" s="57"/>
    </row>
    <row r="152" spans="4:9" ht="12.75">
      <c r="D152" s="5" t="s">
        <v>911</v>
      </c>
      <c r="E152" s="55" t="s">
        <v>199</v>
      </c>
      <c r="F152" s="55"/>
      <c r="G152" s="24">
        <v>14627000</v>
      </c>
      <c r="H152" s="24">
        <v>0</v>
      </c>
      <c r="I152" s="24">
        <f aca="true" t="shared" si="7" ref="I152:I161">G152+H152</f>
        <v>14627000</v>
      </c>
    </row>
    <row r="153" spans="4:9" ht="12.75">
      <c r="D153" s="5" t="s">
        <v>912</v>
      </c>
      <c r="E153" s="55" t="s">
        <v>877</v>
      </c>
      <c r="F153" s="55"/>
      <c r="G153" s="24">
        <v>2610000</v>
      </c>
      <c r="H153" s="24">
        <v>0</v>
      </c>
      <c r="I153" s="24">
        <f t="shared" si="7"/>
        <v>2610000</v>
      </c>
    </row>
    <row r="154" spans="4:9" ht="12.75">
      <c r="D154" s="5" t="s">
        <v>921</v>
      </c>
      <c r="E154" s="55" t="s">
        <v>880</v>
      </c>
      <c r="F154" s="55"/>
      <c r="G154" s="24">
        <v>590000</v>
      </c>
      <c r="H154" s="24">
        <v>0</v>
      </c>
      <c r="I154" s="24">
        <f t="shared" si="7"/>
        <v>590000</v>
      </c>
    </row>
    <row r="155" spans="4:9" ht="12.75">
      <c r="D155" s="5" t="s">
        <v>919</v>
      </c>
      <c r="E155" s="55" t="s">
        <v>200</v>
      </c>
      <c r="F155" s="55"/>
      <c r="G155" s="24">
        <v>300000</v>
      </c>
      <c r="H155" s="24">
        <v>0</v>
      </c>
      <c r="I155" s="24">
        <f t="shared" si="7"/>
        <v>300000</v>
      </c>
    </row>
    <row r="156" spans="4:9" ht="12.75">
      <c r="D156" s="5" t="s">
        <v>913</v>
      </c>
      <c r="E156" s="55" t="s">
        <v>881</v>
      </c>
      <c r="F156" s="55"/>
      <c r="G156" s="24">
        <v>1817000</v>
      </c>
      <c r="H156" s="24">
        <v>0</v>
      </c>
      <c r="I156" s="24">
        <f t="shared" si="7"/>
        <v>1817000</v>
      </c>
    </row>
    <row r="157" spans="4:9" ht="12.75">
      <c r="D157" s="5" t="s">
        <v>915</v>
      </c>
      <c r="E157" s="55" t="s">
        <v>879</v>
      </c>
      <c r="F157" s="55"/>
      <c r="G157" s="24">
        <v>630000</v>
      </c>
      <c r="H157" s="24">
        <v>0</v>
      </c>
      <c r="I157" s="24">
        <f t="shared" si="7"/>
        <v>630000</v>
      </c>
    </row>
    <row r="158" spans="4:9" ht="12.75">
      <c r="D158" s="5" t="s">
        <v>916</v>
      </c>
      <c r="E158" s="55" t="s">
        <v>882</v>
      </c>
      <c r="F158" s="55"/>
      <c r="G158" s="24">
        <v>5280000</v>
      </c>
      <c r="H158" s="24">
        <v>0</v>
      </c>
      <c r="I158" s="24">
        <f t="shared" si="7"/>
        <v>5280000</v>
      </c>
    </row>
    <row r="159" spans="4:9" ht="12.75">
      <c r="D159" s="5" t="s">
        <v>924</v>
      </c>
      <c r="E159" s="55" t="s">
        <v>203</v>
      </c>
      <c r="F159" s="55"/>
      <c r="G159" s="24">
        <v>10000</v>
      </c>
      <c r="H159" s="24">
        <v>0</v>
      </c>
      <c r="I159" s="24">
        <f t="shared" si="7"/>
        <v>10000</v>
      </c>
    </row>
    <row r="160" spans="4:9" ht="12.75">
      <c r="D160" s="5" t="s">
        <v>925</v>
      </c>
      <c r="E160" s="55" t="s">
        <v>884</v>
      </c>
      <c r="F160" s="55"/>
      <c r="G160" s="24">
        <v>899000</v>
      </c>
      <c r="H160" s="24">
        <v>0</v>
      </c>
      <c r="I160" s="24">
        <f t="shared" si="7"/>
        <v>899000</v>
      </c>
    </row>
    <row r="161" spans="4:9" ht="13.5" thickBot="1">
      <c r="D161" s="5" t="s">
        <v>927</v>
      </c>
      <c r="E161" s="55" t="s">
        <v>886</v>
      </c>
      <c r="F161" s="55"/>
      <c r="G161" s="24">
        <v>690000</v>
      </c>
      <c r="H161" s="24">
        <v>0</v>
      </c>
      <c r="I161" s="24">
        <f t="shared" si="7"/>
        <v>690000</v>
      </c>
    </row>
    <row r="162" spans="5:9" ht="12.75">
      <c r="E162" s="58" t="s">
        <v>342</v>
      </c>
      <c r="F162" s="58"/>
      <c r="G162" s="25"/>
      <c r="H162" s="25"/>
      <c r="I162" s="25"/>
    </row>
    <row r="163" spans="4:9" ht="13.5" thickBot="1">
      <c r="D163" s="5" t="s">
        <v>772</v>
      </c>
      <c r="E163" s="55" t="s">
        <v>773</v>
      </c>
      <c r="F163" s="55"/>
      <c r="G163" s="24">
        <f>SUM(G152:G162)</f>
        <v>27453000</v>
      </c>
      <c r="I163" s="24">
        <f>G163+H163</f>
        <v>27453000</v>
      </c>
    </row>
    <row r="164" spans="5:9" ht="13.5" thickBot="1">
      <c r="E164" s="56" t="s">
        <v>343</v>
      </c>
      <c r="F164" s="56"/>
      <c r="G164" s="26">
        <f>SUM(G163:G163)</f>
        <v>27453000</v>
      </c>
      <c r="H164" s="26">
        <f>SUM(H163:H163)</f>
        <v>0</v>
      </c>
      <c r="I164" s="26">
        <f>G164+H164</f>
        <v>27453000</v>
      </c>
    </row>
    <row r="165" spans="5:9" ht="12.75">
      <c r="E165" s="58" t="s">
        <v>363</v>
      </c>
      <c r="F165" s="58"/>
      <c r="G165" s="25"/>
      <c r="H165" s="25"/>
      <c r="I165" s="25"/>
    </row>
    <row r="166" spans="4:9" ht="13.5" thickBot="1">
      <c r="D166" s="5" t="s">
        <v>772</v>
      </c>
      <c r="E166" s="55" t="s">
        <v>773</v>
      </c>
      <c r="F166" s="55"/>
      <c r="G166" s="24">
        <f>+G163</f>
        <v>27453000</v>
      </c>
      <c r="H166" s="24">
        <v>0</v>
      </c>
      <c r="I166" s="24">
        <f>G166+H166</f>
        <v>27453000</v>
      </c>
    </row>
    <row r="167" spans="5:9" ht="13.5" thickBot="1">
      <c r="E167" s="56" t="s">
        <v>364</v>
      </c>
      <c r="F167" s="56"/>
      <c r="G167" s="26">
        <f>SUM(G166:G166)</f>
        <v>27453000</v>
      </c>
      <c r="H167" s="26">
        <f>SUM(H166:H166)</f>
        <v>0</v>
      </c>
      <c r="I167" s="26">
        <f>G167+H167</f>
        <v>27453000</v>
      </c>
    </row>
    <row r="169" spans="1:6" ht="12.75">
      <c r="A169" s="8" t="s">
        <v>766</v>
      </c>
      <c r="B169" s="9" t="s">
        <v>819</v>
      </c>
      <c r="C169" s="8"/>
      <c r="D169" s="9"/>
      <c r="E169" s="57" t="s">
        <v>944</v>
      </c>
      <c r="F169" s="57"/>
    </row>
    <row r="170" spans="1:6" ht="27.75" customHeight="1">
      <c r="A170" s="8"/>
      <c r="B170" s="9"/>
      <c r="C170" s="8" t="s">
        <v>767</v>
      </c>
      <c r="D170" s="9"/>
      <c r="E170" s="57" t="s">
        <v>768</v>
      </c>
      <c r="F170" s="57"/>
    </row>
    <row r="171" spans="4:9" ht="12.75">
      <c r="D171" s="5" t="s">
        <v>911</v>
      </c>
      <c r="E171" s="55" t="s">
        <v>199</v>
      </c>
      <c r="F171" s="55"/>
      <c r="G171" s="24">
        <v>14890000</v>
      </c>
      <c r="H171" s="24">
        <v>0</v>
      </c>
      <c r="I171" s="24">
        <f aca="true" t="shared" si="8" ref="I171:I181">G171+H171</f>
        <v>14890000</v>
      </c>
    </row>
    <row r="172" spans="4:9" ht="12.75">
      <c r="D172" s="5" t="s">
        <v>912</v>
      </c>
      <c r="E172" s="55" t="s">
        <v>877</v>
      </c>
      <c r="F172" s="55"/>
      <c r="G172" s="24">
        <v>2665000</v>
      </c>
      <c r="H172" s="24">
        <v>0</v>
      </c>
      <c r="I172" s="24">
        <f t="shared" si="8"/>
        <v>2665000</v>
      </c>
    </row>
    <row r="173" spans="4:9" ht="12.75">
      <c r="D173" s="5" t="s">
        <v>921</v>
      </c>
      <c r="E173" s="55" t="s">
        <v>880</v>
      </c>
      <c r="F173" s="55"/>
      <c r="G173" s="24">
        <v>100000</v>
      </c>
      <c r="H173" s="24">
        <v>0</v>
      </c>
      <c r="I173" s="24">
        <f t="shared" si="8"/>
        <v>100000</v>
      </c>
    </row>
    <row r="174" spans="4:9" ht="12.75">
      <c r="D174" s="5" t="s">
        <v>919</v>
      </c>
      <c r="E174" s="55" t="s">
        <v>200</v>
      </c>
      <c r="F174" s="55"/>
      <c r="G174" s="24">
        <v>300000</v>
      </c>
      <c r="H174" s="24">
        <v>0</v>
      </c>
      <c r="I174" s="24">
        <f t="shared" si="8"/>
        <v>300000</v>
      </c>
    </row>
    <row r="175" spans="4:9" ht="12.75">
      <c r="D175" s="5" t="s">
        <v>913</v>
      </c>
      <c r="E175" s="55" t="s">
        <v>881</v>
      </c>
      <c r="F175" s="55"/>
      <c r="G175" s="24">
        <v>333000</v>
      </c>
      <c r="H175" s="24">
        <v>0</v>
      </c>
      <c r="I175" s="24">
        <f t="shared" si="8"/>
        <v>333000</v>
      </c>
    </row>
    <row r="176" spans="4:9" ht="12.75">
      <c r="D176" s="5" t="s">
        <v>915</v>
      </c>
      <c r="E176" s="55" t="s">
        <v>879</v>
      </c>
      <c r="F176" s="55"/>
      <c r="G176" s="24">
        <v>2800000</v>
      </c>
      <c r="H176" s="24">
        <v>0</v>
      </c>
      <c r="I176" s="24">
        <f t="shared" si="8"/>
        <v>2800000</v>
      </c>
    </row>
    <row r="177" spans="4:9" ht="12.75">
      <c r="D177" s="5" t="s">
        <v>916</v>
      </c>
      <c r="E177" s="55" t="s">
        <v>882</v>
      </c>
      <c r="F177" s="55"/>
      <c r="G177" s="24">
        <f>3232000+1500000</f>
        <v>4732000</v>
      </c>
      <c r="H177" s="24">
        <v>7472361.08</v>
      </c>
      <c r="I177" s="24">
        <f t="shared" si="8"/>
        <v>12204361.08</v>
      </c>
    </row>
    <row r="178" spans="4:9" ht="12.75">
      <c r="D178" s="5" t="s">
        <v>924</v>
      </c>
      <c r="E178" s="55" t="s">
        <v>203</v>
      </c>
      <c r="F178" s="55"/>
      <c r="G178" s="24">
        <v>20000</v>
      </c>
      <c r="H178" s="24">
        <v>0</v>
      </c>
      <c r="I178" s="24">
        <f t="shared" si="8"/>
        <v>20000</v>
      </c>
    </row>
    <row r="179" spans="4:9" ht="12.75">
      <c r="D179" s="5" t="s">
        <v>925</v>
      </c>
      <c r="E179" s="55" t="s">
        <v>884</v>
      </c>
      <c r="F179" s="55"/>
      <c r="G179" s="24">
        <v>180000</v>
      </c>
      <c r="H179" s="24">
        <v>0</v>
      </c>
      <c r="I179" s="24">
        <f t="shared" si="8"/>
        <v>180000</v>
      </c>
    </row>
    <row r="180" spans="4:9" ht="12.75">
      <c r="D180" s="5" t="s">
        <v>754</v>
      </c>
      <c r="E180" s="55" t="s">
        <v>212</v>
      </c>
      <c r="F180" s="55"/>
      <c r="G180" s="24">
        <v>10000</v>
      </c>
      <c r="H180" s="24">
        <v>0</v>
      </c>
      <c r="I180" s="24">
        <f t="shared" si="8"/>
        <v>10000</v>
      </c>
    </row>
    <row r="181" spans="4:9" ht="13.5" thickBot="1">
      <c r="D181" s="5" t="s">
        <v>927</v>
      </c>
      <c r="E181" s="55" t="s">
        <v>886</v>
      </c>
      <c r="F181" s="55"/>
      <c r="G181" s="24">
        <v>58000</v>
      </c>
      <c r="H181" s="24">
        <v>0</v>
      </c>
      <c r="I181" s="24">
        <f t="shared" si="8"/>
        <v>58000</v>
      </c>
    </row>
    <row r="182" spans="5:9" ht="12.75">
      <c r="E182" s="58" t="s">
        <v>342</v>
      </c>
      <c r="F182" s="58"/>
      <c r="G182" s="25"/>
      <c r="H182" s="25"/>
      <c r="I182" s="25"/>
    </row>
    <row r="183" spans="4:9" ht="12.75">
      <c r="D183" s="5" t="s">
        <v>772</v>
      </c>
      <c r="E183" s="55" t="s">
        <v>773</v>
      </c>
      <c r="F183" s="55"/>
      <c r="G183" s="24">
        <f>SUM(G171:G182)</f>
        <v>26088000</v>
      </c>
      <c r="I183" s="24">
        <f>G183+H183</f>
        <v>26088000</v>
      </c>
    </row>
    <row r="184" spans="4:9" ht="12.75">
      <c r="D184" s="5" t="s">
        <v>778</v>
      </c>
      <c r="E184" s="55" t="s">
        <v>779</v>
      </c>
      <c r="F184" s="55"/>
      <c r="H184" s="24">
        <v>248000</v>
      </c>
      <c r="I184" s="24">
        <f>G184+H184</f>
        <v>248000</v>
      </c>
    </row>
    <row r="185" spans="4:9" ht="13.5" thickBot="1">
      <c r="D185" s="5" t="s">
        <v>780</v>
      </c>
      <c r="E185" s="55" t="s">
        <v>781</v>
      </c>
      <c r="F185" s="55"/>
      <c r="H185" s="24">
        <v>7224361.08</v>
      </c>
      <c r="I185" s="24">
        <f>G185+H185</f>
        <v>7224361.08</v>
      </c>
    </row>
    <row r="186" spans="5:9" ht="13.5" thickBot="1">
      <c r="E186" s="56" t="s">
        <v>343</v>
      </c>
      <c r="F186" s="56"/>
      <c r="G186" s="26">
        <f>SUM(G183:G185)</f>
        <v>26088000</v>
      </c>
      <c r="H186" s="26">
        <f>SUM(H183:H185)</f>
        <v>7472361.08</v>
      </c>
      <c r="I186" s="26">
        <f>G186+H186</f>
        <v>33560361.08</v>
      </c>
    </row>
    <row r="187" spans="5:9" ht="12.75">
      <c r="E187" s="58" t="s">
        <v>365</v>
      </c>
      <c r="F187" s="58"/>
      <c r="G187" s="25"/>
      <c r="H187" s="25"/>
      <c r="I187" s="25"/>
    </row>
    <row r="188" spans="4:9" ht="12.75">
      <c r="D188" s="5" t="s">
        <v>772</v>
      </c>
      <c r="E188" s="55" t="s">
        <v>773</v>
      </c>
      <c r="F188" s="55"/>
      <c r="G188" s="24">
        <f>+G183</f>
        <v>26088000</v>
      </c>
      <c r="H188" s="24">
        <v>0</v>
      </c>
      <c r="I188" s="24">
        <f>G188+H188</f>
        <v>26088000</v>
      </c>
    </row>
    <row r="189" spans="4:9" ht="12.75">
      <c r="D189" s="5" t="s">
        <v>778</v>
      </c>
      <c r="E189" s="55" t="s">
        <v>779</v>
      </c>
      <c r="F189" s="55"/>
      <c r="G189" s="24">
        <v>0</v>
      </c>
      <c r="H189" s="24">
        <f>+H184</f>
        <v>248000</v>
      </c>
      <c r="I189" s="24">
        <f>G189+H189</f>
        <v>248000</v>
      </c>
    </row>
    <row r="190" spans="4:9" ht="13.5" thickBot="1">
      <c r="D190" s="5" t="s">
        <v>780</v>
      </c>
      <c r="E190" s="55" t="s">
        <v>781</v>
      </c>
      <c r="F190" s="55"/>
      <c r="G190" s="24">
        <v>0</v>
      </c>
      <c r="H190" s="24">
        <f>+H185</f>
        <v>7224361.08</v>
      </c>
      <c r="I190" s="24">
        <f>G190+H190</f>
        <v>7224361.08</v>
      </c>
    </row>
    <row r="191" spans="5:9" ht="13.5" thickBot="1">
      <c r="E191" s="56" t="s">
        <v>366</v>
      </c>
      <c r="F191" s="56"/>
      <c r="G191" s="26">
        <f>SUM(G188:G190)</f>
        <v>26088000</v>
      </c>
      <c r="H191" s="26">
        <f>SUM(H188:H190)</f>
        <v>7472361.08</v>
      </c>
      <c r="I191" s="26">
        <f>G191+H191</f>
        <v>33560361.08</v>
      </c>
    </row>
    <row r="193" spans="1:6" ht="12.75">
      <c r="A193" s="8" t="s">
        <v>766</v>
      </c>
      <c r="B193" s="9" t="s">
        <v>820</v>
      </c>
      <c r="C193" s="8"/>
      <c r="D193" s="9"/>
      <c r="E193" s="57" t="s">
        <v>945</v>
      </c>
      <c r="F193" s="57"/>
    </row>
    <row r="194" spans="1:6" ht="12.75">
      <c r="A194" s="8"/>
      <c r="B194" s="9"/>
      <c r="C194" s="8" t="s">
        <v>788</v>
      </c>
      <c r="D194" s="9"/>
      <c r="E194" s="57" t="s">
        <v>789</v>
      </c>
      <c r="F194" s="57"/>
    </row>
    <row r="195" spans="4:9" ht="12.75">
      <c r="D195" s="5" t="s">
        <v>913</v>
      </c>
      <c r="E195" s="55" t="s">
        <v>881</v>
      </c>
      <c r="F195" s="55"/>
      <c r="G195" s="24">
        <v>33000</v>
      </c>
      <c r="H195" s="24">
        <v>0</v>
      </c>
      <c r="I195" s="24">
        <f>G195+H195</f>
        <v>33000</v>
      </c>
    </row>
    <row r="196" spans="4:9" ht="12.75">
      <c r="D196" s="5" t="s">
        <v>916</v>
      </c>
      <c r="E196" s="55" t="s">
        <v>882</v>
      </c>
      <c r="F196" s="55"/>
      <c r="G196" s="24">
        <f>1560000+500000</f>
        <v>2060000</v>
      </c>
      <c r="H196" s="24">
        <v>0</v>
      </c>
      <c r="I196" s="24">
        <f>G196+H196</f>
        <v>2060000</v>
      </c>
    </row>
    <row r="197" spans="4:9" ht="12.75">
      <c r="D197" s="5" t="s">
        <v>923</v>
      </c>
      <c r="E197" s="55" t="s">
        <v>883</v>
      </c>
      <c r="F197" s="55"/>
      <c r="G197" s="24">
        <f>1850000+400000</f>
        <v>2250000</v>
      </c>
      <c r="H197" s="24">
        <v>0</v>
      </c>
      <c r="I197" s="24">
        <f>G197+H197</f>
        <v>2250000</v>
      </c>
    </row>
    <row r="198" spans="4:9" ht="13.5" thickBot="1">
      <c r="D198" s="5" t="s">
        <v>925</v>
      </c>
      <c r="E198" s="55" t="s">
        <v>884</v>
      </c>
      <c r="F198" s="55"/>
      <c r="G198" s="24">
        <v>40000</v>
      </c>
      <c r="H198" s="24">
        <v>0</v>
      </c>
      <c r="I198" s="24">
        <f>G198+H198</f>
        <v>40000</v>
      </c>
    </row>
    <row r="199" spans="5:9" ht="12.75">
      <c r="E199" s="58" t="s">
        <v>700</v>
      </c>
      <c r="F199" s="58"/>
      <c r="G199" s="25"/>
      <c r="H199" s="25"/>
      <c r="I199" s="25"/>
    </row>
    <row r="200" spans="4:9" ht="13.5" thickBot="1">
      <c r="D200" s="5" t="s">
        <v>772</v>
      </c>
      <c r="E200" s="55" t="s">
        <v>773</v>
      </c>
      <c r="F200" s="55"/>
      <c r="G200" s="24">
        <f>SUM(G195:G199)</f>
        <v>4383000</v>
      </c>
      <c r="I200" s="24">
        <f>G200+H200</f>
        <v>4383000</v>
      </c>
    </row>
    <row r="201" spans="5:9" ht="13.5" thickBot="1">
      <c r="E201" s="56" t="s">
        <v>701</v>
      </c>
      <c r="F201" s="56"/>
      <c r="G201" s="26">
        <f>SUM(G200:G200)</f>
        <v>4383000</v>
      </c>
      <c r="H201" s="26">
        <f>SUM(H200:H200)</f>
        <v>0</v>
      </c>
      <c r="I201" s="26">
        <f>G201+H201</f>
        <v>4383000</v>
      </c>
    </row>
    <row r="202" spans="5:9" ht="12.75">
      <c r="E202" s="58" t="s">
        <v>702</v>
      </c>
      <c r="F202" s="58"/>
      <c r="G202" s="25"/>
      <c r="H202" s="25"/>
      <c r="I202" s="25"/>
    </row>
    <row r="203" spans="4:9" ht="13.5" thickBot="1">
      <c r="D203" s="5" t="s">
        <v>772</v>
      </c>
      <c r="E203" s="55" t="s">
        <v>773</v>
      </c>
      <c r="F203" s="55"/>
      <c r="G203" s="24">
        <f>+G200</f>
        <v>4383000</v>
      </c>
      <c r="H203" s="24">
        <v>0</v>
      </c>
      <c r="I203" s="24">
        <f>G203+H203</f>
        <v>4383000</v>
      </c>
    </row>
    <row r="204" spans="5:9" ht="13.5" thickBot="1">
      <c r="E204" s="56" t="s">
        <v>703</v>
      </c>
      <c r="F204" s="56"/>
      <c r="G204" s="26">
        <f>SUM(G203:G203)</f>
        <v>4383000</v>
      </c>
      <c r="H204" s="26">
        <f>SUM(H203:H203)</f>
        <v>0</v>
      </c>
      <c r="I204" s="26">
        <f>G204+H204</f>
        <v>4383000</v>
      </c>
    </row>
    <row r="206" spans="1:6" ht="12.75">
      <c r="A206" s="8" t="s">
        <v>766</v>
      </c>
      <c r="B206" s="9" t="s">
        <v>821</v>
      </c>
      <c r="C206" s="8"/>
      <c r="D206" s="9"/>
      <c r="E206" s="57" t="s">
        <v>946</v>
      </c>
      <c r="F206" s="57"/>
    </row>
    <row r="207" spans="1:6" ht="27.75" customHeight="1">
      <c r="A207" s="8"/>
      <c r="B207" s="9"/>
      <c r="C207" s="8" t="s">
        <v>767</v>
      </c>
      <c r="D207" s="9"/>
      <c r="E207" s="57" t="s">
        <v>768</v>
      </c>
      <c r="F207" s="57"/>
    </row>
    <row r="208" spans="4:9" ht="12.75">
      <c r="D208" s="5" t="s">
        <v>911</v>
      </c>
      <c r="E208" s="55" t="s">
        <v>199</v>
      </c>
      <c r="F208" s="55"/>
      <c r="G208" s="24">
        <v>17752000</v>
      </c>
      <c r="H208" s="24">
        <v>0</v>
      </c>
      <c r="I208" s="24">
        <f aca="true" t="shared" si="9" ref="I208:I218">G208+H208</f>
        <v>17752000</v>
      </c>
    </row>
    <row r="209" spans="4:9" ht="12.75">
      <c r="D209" s="5" t="s">
        <v>912</v>
      </c>
      <c r="E209" s="55" t="s">
        <v>877</v>
      </c>
      <c r="F209" s="55"/>
      <c r="G209" s="24">
        <v>3178000</v>
      </c>
      <c r="H209" s="24">
        <v>0</v>
      </c>
      <c r="I209" s="24">
        <f t="shared" si="9"/>
        <v>3178000</v>
      </c>
    </row>
    <row r="210" spans="4:9" ht="12.75">
      <c r="D210" s="5" t="s">
        <v>918</v>
      </c>
      <c r="E210" s="55" t="s">
        <v>878</v>
      </c>
      <c r="F210" s="55"/>
      <c r="G210" s="24">
        <v>50000</v>
      </c>
      <c r="H210" s="24">
        <v>0</v>
      </c>
      <c r="I210" s="24">
        <f t="shared" si="9"/>
        <v>50000</v>
      </c>
    </row>
    <row r="211" spans="4:9" ht="12.75">
      <c r="D211" s="5" t="s">
        <v>921</v>
      </c>
      <c r="E211" s="55" t="s">
        <v>880</v>
      </c>
      <c r="F211" s="55"/>
      <c r="G211" s="24">
        <v>100000</v>
      </c>
      <c r="H211" s="24">
        <v>0</v>
      </c>
      <c r="I211" s="24">
        <f t="shared" si="9"/>
        <v>100000</v>
      </c>
    </row>
    <row r="212" spans="4:9" ht="12.75">
      <c r="D212" s="5" t="s">
        <v>919</v>
      </c>
      <c r="E212" s="55" t="s">
        <v>200</v>
      </c>
      <c r="F212" s="55"/>
      <c r="G212" s="24">
        <v>250000</v>
      </c>
      <c r="H212" s="24">
        <v>0</v>
      </c>
      <c r="I212" s="24">
        <f t="shared" si="9"/>
        <v>250000</v>
      </c>
    </row>
    <row r="213" spans="4:9" ht="12.75">
      <c r="D213" s="5" t="s">
        <v>913</v>
      </c>
      <c r="E213" s="55" t="s">
        <v>881</v>
      </c>
      <c r="F213" s="55"/>
      <c r="G213" s="24">
        <v>333000</v>
      </c>
      <c r="H213" s="24">
        <v>0</v>
      </c>
      <c r="I213" s="24">
        <f t="shared" si="9"/>
        <v>333000</v>
      </c>
    </row>
    <row r="214" spans="4:9" ht="12.75">
      <c r="D214" s="5" t="s">
        <v>915</v>
      </c>
      <c r="E214" s="55" t="s">
        <v>879</v>
      </c>
      <c r="F214" s="55"/>
      <c r="G214" s="24">
        <v>200000</v>
      </c>
      <c r="H214" s="24">
        <v>0</v>
      </c>
      <c r="I214" s="24">
        <f t="shared" si="9"/>
        <v>200000</v>
      </c>
    </row>
    <row r="215" spans="4:9" ht="12.75">
      <c r="D215" s="5" t="s">
        <v>916</v>
      </c>
      <c r="E215" s="55" t="s">
        <v>882</v>
      </c>
      <c r="F215" s="55"/>
      <c r="G215" s="24">
        <v>16534000</v>
      </c>
      <c r="H215" s="24">
        <v>0</v>
      </c>
      <c r="I215" s="24">
        <f t="shared" si="9"/>
        <v>16534000</v>
      </c>
    </row>
    <row r="216" spans="4:9" ht="12.75">
      <c r="D216" s="5" t="s">
        <v>923</v>
      </c>
      <c r="E216" s="55" t="s">
        <v>883</v>
      </c>
      <c r="F216" s="55"/>
      <c r="G216" s="24">
        <v>100000</v>
      </c>
      <c r="H216" s="24">
        <v>0</v>
      </c>
      <c r="I216" s="24">
        <f t="shared" si="9"/>
        <v>100000</v>
      </c>
    </row>
    <row r="217" spans="4:9" ht="12.75">
      <c r="D217" s="5" t="s">
        <v>924</v>
      </c>
      <c r="E217" s="55" t="s">
        <v>203</v>
      </c>
      <c r="F217" s="55"/>
      <c r="G217" s="24">
        <v>70000</v>
      </c>
      <c r="H217" s="24">
        <v>0</v>
      </c>
      <c r="I217" s="24">
        <f t="shared" si="9"/>
        <v>70000</v>
      </c>
    </row>
    <row r="218" spans="4:9" ht="13.5" thickBot="1">
      <c r="D218" s="5" t="s">
        <v>925</v>
      </c>
      <c r="E218" s="55" t="s">
        <v>884</v>
      </c>
      <c r="F218" s="55"/>
      <c r="G218" s="24">
        <v>300000</v>
      </c>
      <c r="H218" s="24">
        <v>0</v>
      </c>
      <c r="I218" s="24">
        <f t="shared" si="9"/>
        <v>300000</v>
      </c>
    </row>
    <row r="219" spans="5:9" ht="12.75">
      <c r="E219" s="58" t="s">
        <v>342</v>
      </c>
      <c r="F219" s="58"/>
      <c r="G219" s="25"/>
      <c r="H219" s="25"/>
      <c r="I219" s="25"/>
    </row>
    <row r="220" spans="4:9" ht="13.5" thickBot="1">
      <c r="D220" s="5" t="s">
        <v>772</v>
      </c>
      <c r="E220" s="55" t="s">
        <v>773</v>
      </c>
      <c r="F220" s="55"/>
      <c r="G220" s="24">
        <f>SUM(G208:G219)</f>
        <v>38867000</v>
      </c>
      <c r="I220" s="24">
        <f>G220+H220</f>
        <v>38867000</v>
      </c>
    </row>
    <row r="221" spans="5:9" ht="13.5" thickBot="1">
      <c r="E221" s="56" t="s">
        <v>343</v>
      </c>
      <c r="F221" s="56"/>
      <c r="G221" s="26">
        <f>SUM(G220:G220)</f>
        <v>38867000</v>
      </c>
      <c r="H221" s="26">
        <f>SUM(H220:H220)</f>
        <v>0</v>
      </c>
      <c r="I221" s="26">
        <f>G221+H221</f>
        <v>38867000</v>
      </c>
    </row>
    <row r="222" spans="5:9" ht="12.75">
      <c r="E222" s="58" t="s">
        <v>704</v>
      </c>
      <c r="F222" s="58"/>
      <c r="G222" s="25"/>
      <c r="H222" s="25"/>
      <c r="I222" s="25"/>
    </row>
    <row r="223" spans="4:9" ht="13.5" thickBot="1">
      <c r="D223" s="5" t="s">
        <v>772</v>
      </c>
      <c r="E223" s="55" t="s">
        <v>773</v>
      </c>
      <c r="F223" s="55"/>
      <c r="G223" s="24">
        <f>+G220</f>
        <v>38867000</v>
      </c>
      <c r="H223" s="24">
        <v>0</v>
      </c>
      <c r="I223" s="24">
        <f>G223+H223</f>
        <v>38867000</v>
      </c>
    </row>
    <row r="224" spans="5:9" ht="13.5" thickBot="1">
      <c r="E224" s="56" t="s">
        <v>705</v>
      </c>
      <c r="F224" s="56"/>
      <c r="G224" s="26">
        <f>SUM(G223:G223)</f>
        <v>38867000</v>
      </c>
      <c r="H224" s="26">
        <f>SUM(H223:H223)</f>
        <v>0</v>
      </c>
      <c r="I224" s="26">
        <f>G224+H224</f>
        <v>38867000</v>
      </c>
    </row>
    <row r="226" spans="1:6" ht="14.25" customHeight="1">
      <c r="A226" s="8" t="s">
        <v>766</v>
      </c>
      <c r="B226" s="9" t="s">
        <v>470</v>
      </c>
      <c r="C226" s="8"/>
      <c r="D226" s="9"/>
      <c r="E226" s="57" t="s">
        <v>947</v>
      </c>
      <c r="F226" s="57"/>
    </row>
    <row r="227" spans="1:6" ht="28.5" customHeight="1">
      <c r="A227" s="8"/>
      <c r="B227" s="9"/>
      <c r="C227" s="8" t="s">
        <v>767</v>
      </c>
      <c r="D227" s="9"/>
      <c r="E227" s="57" t="s">
        <v>768</v>
      </c>
      <c r="F227" s="57"/>
    </row>
    <row r="228" spans="4:9" ht="12.75">
      <c r="D228" s="5" t="s">
        <v>911</v>
      </c>
      <c r="E228" s="55" t="s">
        <v>199</v>
      </c>
      <c r="F228" s="55"/>
      <c r="G228" s="24">
        <v>13371000</v>
      </c>
      <c r="H228" s="24">
        <v>0</v>
      </c>
      <c r="I228" s="24">
        <f aca="true" t="shared" si="10" ref="I228:I240">G228+H228</f>
        <v>13371000</v>
      </c>
    </row>
    <row r="229" spans="4:9" ht="12.75">
      <c r="D229" s="5" t="s">
        <v>912</v>
      </c>
      <c r="E229" s="55" t="s">
        <v>877</v>
      </c>
      <c r="F229" s="55"/>
      <c r="G229" s="24">
        <v>2410000</v>
      </c>
      <c r="H229" s="24">
        <v>0</v>
      </c>
      <c r="I229" s="24">
        <f t="shared" si="10"/>
        <v>2410000</v>
      </c>
    </row>
    <row r="230" spans="4:9" ht="12.75">
      <c r="D230" s="5" t="s">
        <v>921</v>
      </c>
      <c r="E230" s="55" t="s">
        <v>880</v>
      </c>
      <c r="F230" s="55"/>
      <c r="G230" s="24">
        <v>64000</v>
      </c>
      <c r="H230" s="24">
        <v>0</v>
      </c>
      <c r="I230" s="24">
        <f t="shared" si="10"/>
        <v>64000</v>
      </c>
    </row>
    <row r="231" spans="4:9" ht="12.75">
      <c r="D231" s="5" t="s">
        <v>919</v>
      </c>
      <c r="E231" s="55" t="s">
        <v>200</v>
      </c>
      <c r="F231" s="55"/>
      <c r="G231" s="24">
        <v>338000</v>
      </c>
      <c r="H231" s="24">
        <v>0</v>
      </c>
      <c r="I231" s="24">
        <f t="shared" si="10"/>
        <v>338000</v>
      </c>
    </row>
    <row r="232" spans="4:9" ht="12.75">
      <c r="D232" s="5" t="s">
        <v>913</v>
      </c>
      <c r="E232" s="55" t="s">
        <v>881</v>
      </c>
      <c r="F232" s="55"/>
      <c r="G232" s="24">
        <v>1300000</v>
      </c>
      <c r="H232" s="24">
        <v>0</v>
      </c>
      <c r="I232" s="24">
        <f t="shared" si="10"/>
        <v>1300000</v>
      </c>
    </row>
    <row r="233" spans="4:9" ht="12.75">
      <c r="D233" s="5" t="s">
        <v>915</v>
      </c>
      <c r="E233" s="55" t="s">
        <v>879</v>
      </c>
      <c r="F233" s="55"/>
      <c r="G233" s="24">
        <v>1640000</v>
      </c>
      <c r="H233" s="24">
        <v>1709157.89</v>
      </c>
      <c r="I233" s="24">
        <f t="shared" si="10"/>
        <v>3349157.8899999997</v>
      </c>
    </row>
    <row r="234" spans="4:9" ht="12.75">
      <c r="D234" s="5" t="s">
        <v>916</v>
      </c>
      <c r="E234" s="55" t="s">
        <v>882</v>
      </c>
      <c r="F234" s="55"/>
      <c r="G234" s="24">
        <v>4272000</v>
      </c>
      <c r="H234" s="24">
        <v>11694093.25</v>
      </c>
      <c r="I234" s="24">
        <f t="shared" si="10"/>
        <v>15966093.25</v>
      </c>
    </row>
    <row r="235" spans="4:9" ht="12.75">
      <c r="D235" s="5" t="s">
        <v>923</v>
      </c>
      <c r="E235" s="55" t="s">
        <v>883</v>
      </c>
      <c r="F235" s="55"/>
      <c r="G235" s="24">
        <v>6400000</v>
      </c>
      <c r="H235" s="24">
        <v>0</v>
      </c>
      <c r="I235" s="24">
        <f t="shared" si="10"/>
        <v>6400000</v>
      </c>
    </row>
    <row r="236" spans="4:9" ht="12.75">
      <c r="D236" s="5" t="s">
        <v>924</v>
      </c>
      <c r="E236" s="55" t="s">
        <v>203</v>
      </c>
      <c r="F236" s="55"/>
      <c r="G236" s="24">
        <v>270000</v>
      </c>
      <c r="H236" s="24">
        <v>0</v>
      </c>
      <c r="I236" s="24">
        <f t="shared" si="10"/>
        <v>270000</v>
      </c>
    </row>
    <row r="237" spans="4:9" ht="12.75">
      <c r="D237" s="5" t="s">
        <v>925</v>
      </c>
      <c r="E237" s="55" t="s">
        <v>884</v>
      </c>
      <c r="F237" s="55"/>
      <c r="G237" s="24">
        <v>400000</v>
      </c>
      <c r="H237" s="24">
        <v>1478696.8</v>
      </c>
      <c r="I237" s="24">
        <f t="shared" si="10"/>
        <v>1878696.8</v>
      </c>
    </row>
    <row r="238" spans="4:9" ht="12.75">
      <c r="D238" s="5" t="s">
        <v>930</v>
      </c>
      <c r="E238" s="55" t="s">
        <v>209</v>
      </c>
      <c r="F238" s="55"/>
      <c r="G238" s="24">
        <v>0</v>
      </c>
      <c r="H238" s="24">
        <v>2846851.11</v>
      </c>
      <c r="I238" s="24">
        <f t="shared" si="10"/>
        <v>2846851.11</v>
      </c>
    </row>
    <row r="239" spans="4:9" ht="12.75">
      <c r="D239" s="5" t="s">
        <v>750</v>
      </c>
      <c r="E239" s="55" t="s">
        <v>887</v>
      </c>
      <c r="F239" s="55"/>
      <c r="G239" s="24">
        <v>1800000</v>
      </c>
      <c r="H239" s="24">
        <v>0</v>
      </c>
      <c r="I239" s="24">
        <f t="shared" si="10"/>
        <v>1800000</v>
      </c>
    </row>
    <row r="240" spans="4:9" ht="13.5" thickBot="1">
      <c r="D240" s="5" t="s">
        <v>753</v>
      </c>
      <c r="E240" s="55" t="s">
        <v>211</v>
      </c>
      <c r="F240" s="55"/>
      <c r="G240" s="24">
        <v>7800000</v>
      </c>
      <c r="H240" s="24">
        <v>252800</v>
      </c>
      <c r="I240" s="24">
        <f t="shared" si="10"/>
        <v>8052800</v>
      </c>
    </row>
    <row r="241" spans="5:9" ht="12.75">
      <c r="E241" s="58" t="s">
        <v>342</v>
      </c>
      <c r="F241" s="58"/>
      <c r="G241" s="25"/>
      <c r="H241" s="25"/>
      <c r="I241" s="25"/>
    </row>
    <row r="242" spans="4:9" ht="12.75">
      <c r="D242" s="5" t="s">
        <v>772</v>
      </c>
      <c r="E242" s="55" t="s">
        <v>773</v>
      </c>
      <c r="F242" s="55"/>
      <c r="G242" s="24">
        <f>SUM(G228:G241)</f>
        <v>40065000</v>
      </c>
      <c r="I242" s="24">
        <f>G242+H242</f>
        <v>40065000</v>
      </c>
    </row>
    <row r="243" spans="4:9" ht="12.75">
      <c r="D243" s="5" t="s">
        <v>780</v>
      </c>
      <c r="E243" s="55" t="s">
        <v>781</v>
      </c>
      <c r="F243" s="55"/>
      <c r="H243" s="24">
        <v>5872256.95</v>
      </c>
      <c r="I243" s="24">
        <f>G243+H243</f>
        <v>5872256.95</v>
      </c>
    </row>
    <row r="244" spans="4:9" ht="13.5" thickBot="1">
      <c r="D244" s="5" t="s">
        <v>979</v>
      </c>
      <c r="E244" s="55" t="s">
        <v>374</v>
      </c>
      <c r="F244" s="55"/>
      <c r="H244" s="24">
        <v>12109342.1</v>
      </c>
      <c r="I244" s="24">
        <f>G244+H244</f>
        <v>12109342.1</v>
      </c>
    </row>
    <row r="245" spans="5:9" ht="13.5" thickBot="1">
      <c r="E245" s="56" t="s">
        <v>343</v>
      </c>
      <c r="F245" s="56"/>
      <c r="G245" s="26">
        <f>SUM(G242:G244)</f>
        <v>40065000</v>
      </c>
      <c r="H245" s="26">
        <f>SUM(H242:H244)</f>
        <v>17981599.05</v>
      </c>
      <c r="I245" s="26">
        <f>G245+H245</f>
        <v>58046599.05</v>
      </c>
    </row>
    <row r="246" spans="5:9" ht="12.75">
      <c r="E246" s="58" t="s">
        <v>471</v>
      </c>
      <c r="F246" s="58"/>
      <c r="G246" s="25"/>
      <c r="H246" s="25"/>
      <c r="I246" s="25"/>
    </row>
    <row r="247" spans="4:9" ht="12.75">
      <c r="D247" s="5" t="s">
        <v>772</v>
      </c>
      <c r="E247" s="55" t="s">
        <v>773</v>
      </c>
      <c r="F247" s="55"/>
      <c r="G247" s="24">
        <f>+G242</f>
        <v>40065000</v>
      </c>
      <c r="H247" s="24">
        <v>0</v>
      </c>
      <c r="I247" s="24">
        <f>G247+H247</f>
        <v>40065000</v>
      </c>
    </row>
    <row r="248" spans="4:9" ht="12.75">
      <c r="D248" s="5" t="s">
        <v>780</v>
      </c>
      <c r="E248" s="55" t="s">
        <v>781</v>
      </c>
      <c r="F248" s="55"/>
      <c r="G248" s="24">
        <v>0</v>
      </c>
      <c r="H248" s="24">
        <v>5872256.95</v>
      </c>
      <c r="I248" s="24">
        <f>G248+H248</f>
        <v>5872256.95</v>
      </c>
    </row>
    <row r="249" spans="4:9" ht="13.5" thickBot="1">
      <c r="D249" s="5" t="s">
        <v>979</v>
      </c>
      <c r="E249" s="55" t="s">
        <v>374</v>
      </c>
      <c r="F249" s="55"/>
      <c r="G249" s="24">
        <v>0</v>
      </c>
      <c r="H249" s="24">
        <v>12109342.1</v>
      </c>
      <c r="I249" s="24">
        <f>G249+H249</f>
        <v>12109342.1</v>
      </c>
    </row>
    <row r="250" spans="5:9" ht="13.5" thickBot="1">
      <c r="E250" s="56" t="s">
        <v>472</v>
      </c>
      <c r="F250" s="56"/>
      <c r="G250" s="26">
        <f>SUM(G247:G249)</f>
        <v>40065000</v>
      </c>
      <c r="H250" s="26">
        <f>SUM(H247:H249)</f>
        <v>17981599.05</v>
      </c>
      <c r="I250" s="26">
        <f>G250+H250</f>
        <v>58046599.05</v>
      </c>
    </row>
    <row r="252" spans="1:6" ht="27" customHeight="1">
      <c r="A252" s="8" t="s">
        <v>766</v>
      </c>
      <c r="B252" s="9" t="s">
        <v>822</v>
      </c>
      <c r="C252" s="8"/>
      <c r="D252" s="9"/>
      <c r="E252" s="57" t="s">
        <v>814</v>
      </c>
      <c r="F252" s="57"/>
    </row>
    <row r="253" spans="1:6" ht="27.75" customHeight="1">
      <c r="A253" s="8"/>
      <c r="B253" s="9"/>
      <c r="C253" s="8" t="s">
        <v>767</v>
      </c>
      <c r="D253" s="9"/>
      <c r="E253" s="57" t="s">
        <v>768</v>
      </c>
      <c r="F253" s="57"/>
    </row>
    <row r="254" spans="4:9" ht="12.75">
      <c r="D254" s="5" t="s">
        <v>911</v>
      </c>
      <c r="E254" s="55" t="s">
        <v>199</v>
      </c>
      <c r="F254" s="55"/>
      <c r="G254" s="24">
        <f>3405000+200000</f>
        <v>3605000</v>
      </c>
      <c r="H254" s="24">
        <v>0</v>
      </c>
      <c r="I254" s="24">
        <f aca="true" t="shared" si="11" ref="I254:I264">G254+H254</f>
        <v>3605000</v>
      </c>
    </row>
    <row r="255" spans="4:9" ht="12.75">
      <c r="D255" s="5" t="s">
        <v>912</v>
      </c>
      <c r="E255" s="55" t="s">
        <v>877</v>
      </c>
      <c r="F255" s="55"/>
      <c r="G255" s="24">
        <f>610000+97000</f>
        <v>707000</v>
      </c>
      <c r="H255" s="24">
        <v>0</v>
      </c>
      <c r="I255" s="24">
        <f t="shared" si="11"/>
        <v>707000</v>
      </c>
    </row>
    <row r="256" spans="4:9" ht="12.75">
      <c r="D256" s="5" t="s">
        <v>921</v>
      </c>
      <c r="E256" s="55" t="s">
        <v>880</v>
      </c>
      <c r="F256" s="55"/>
      <c r="G256" s="24">
        <f>35000+26000</f>
        <v>61000</v>
      </c>
      <c r="H256" s="24">
        <v>0</v>
      </c>
      <c r="I256" s="24">
        <f t="shared" si="11"/>
        <v>61000</v>
      </c>
    </row>
    <row r="257" spans="4:9" ht="12.75">
      <c r="D257" s="5" t="s">
        <v>919</v>
      </c>
      <c r="E257" s="55" t="s">
        <v>200</v>
      </c>
      <c r="F257" s="55"/>
      <c r="G257" s="24">
        <f>325000+34000+90000</f>
        <v>449000</v>
      </c>
      <c r="H257" s="24">
        <v>0</v>
      </c>
      <c r="I257" s="24">
        <f t="shared" si="11"/>
        <v>449000</v>
      </c>
    </row>
    <row r="258" spans="4:9" ht="12.75">
      <c r="D258" s="5" t="s">
        <v>913</v>
      </c>
      <c r="E258" s="55" t="s">
        <v>881</v>
      </c>
      <c r="F258" s="55"/>
      <c r="G258" s="24">
        <v>1150000</v>
      </c>
      <c r="H258" s="24">
        <v>175334</v>
      </c>
      <c r="I258" s="24">
        <f t="shared" si="11"/>
        <v>1325334</v>
      </c>
    </row>
    <row r="259" spans="4:9" ht="12.75">
      <c r="D259" s="5" t="s">
        <v>915</v>
      </c>
      <c r="E259" s="55" t="s">
        <v>879</v>
      </c>
      <c r="F259" s="55"/>
      <c r="G259" s="24">
        <v>500000</v>
      </c>
      <c r="H259" s="24">
        <v>0</v>
      </c>
      <c r="I259" s="24">
        <f t="shared" si="11"/>
        <v>500000</v>
      </c>
    </row>
    <row r="260" spans="4:9" ht="12.75">
      <c r="D260" s="5" t="s">
        <v>916</v>
      </c>
      <c r="E260" s="55" t="s">
        <v>882</v>
      </c>
      <c r="F260" s="55"/>
      <c r="G260" s="24">
        <f>1260000+250000</f>
        <v>1510000</v>
      </c>
      <c r="H260" s="24">
        <v>1840425.52</v>
      </c>
      <c r="I260" s="24">
        <f t="shared" si="11"/>
        <v>3350425.52</v>
      </c>
    </row>
    <row r="261" spans="4:9" ht="12.75">
      <c r="D261" s="5" t="s">
        <v>924</v>
      </c>
      <c r="E261" s="55" t="s">
        <v>203</v>
      </c>
      <c r="F261" s="55"/>
      <c r="G261" s="24">
        <v>363000</v>
      </c>
      <c r="H261" s="24">
        <v>0</v>
      </c>
      <c r="I261" s="24">
        <f t="shared" si="11"/>
        <v>363000</v>
      </c>
    </row>
    <row r="262" spans="4:9" ht="12.75">
      <c r="D262" s="5" t="s">
        <v>925</v>
      </c>
      <c r="E262" s="55" t="s">
        <v>884</v>
      </c>
      <c r="F262" s="55"/>
      <c r="G262" s="24">
        <v>800000</v>
      </c>
      <c r="H262" s="24">
        <v>125300</v>
      </c>
      <c r="I262" s="24">
        <f t="shared" si="11"/>
        <v>925300</v>
      </c>
    </row>
    <row r="263" spans="4:9" ht="12.75">
      <c r="D263" s="5" t="s">
        <v>930</v>
      </c>
      <c r="E263" s="55" t="s">
        <v>209</v>
      </c>
      <c r="F263" s="55"/>
      <c r="G263" s="24">
        <v>190000000</v>
      </c>
      <c r="H263" s="24">
        <v>700000</v>
      </c>
      <c r="I263" s="24">
        <f t="shared" si="11"/>
        <v>190700000</v>
      </c>
    </row>
    <row r="264" spans="4:9" ht="13.5" thickBot="1">
      <c r="D264" s="5" t="s">
        <v>927</v>
      </c>
      <c r="E264" s="55" t="s">
        <v>886</v>
      </c>
      <c r="F264" s="55"/>
      <c r="G264" s="24">
        <v>115000</v>
      </c>
      <c r="H264" s="24">
        <v>0</v>
      </c>
      <c r="I264" s="24">
        <f t="shared" si="11"/>
        <v>115000</v>
      </c>
    </row>
    <row r="265" spans="5:9" ht="12.75">
      <c r="E265" s="58" t="s">
        <v>342</v>
      </c>
      <c r="F265" s="58"/>
      <c r="G265" s="25"/>
      <c r="H265" s="25"/>
      <c r="I265" s="25"/>
    </row>
    <row r="266" spans="4:9" ht="12.75">
      <c r="D266" s="5" t="s">
        <v>772</v>
      </c>
      <c r="E266" s="55" t="s">
        <v>773</v>
      </c>
      <c r="F266" s="55"/>
      <c r="G266" s="24">
        <f>SUM(G254:G265)</f>
        <v>199260000</v>
      </c>
      <c r="I266" s="24">
        <f>G266+H266</f>
        <v>199260000</v>
      </c>
    </row>
    <row r="267" spans="4:9" ht="12.75">
      <c r="D267" s="5" t="s">
        <v>780</v>
      </c>
      <c r="E267" s="55" t="s">
        <v>781</v>
      </c>
      <c r="F267" s="55"/>
      <c r="H267" s="24">
        <v>2506317.03</v>
      </c>
      <c r="I267" s="24">
        <f>G267+H267</f>
        <v>2506317.03</v>
      </c>
    </row>
    <row r="268" spans="4:9" ht="13.5" thickBot="1">
      <c r="D268" s="5" t="s">
        <v>979</v>
      </c>
      <c r="E268" s="55" t="s">
        <v>374</v>
      </c>
      <c r="F268" s="55"/>
      <c r="H268" s="24">
        <v>334742.49</v>
      </c>
      <c r="I268" s="24">
        <f>G268+H268</f>
        <v>334742.49</v>
      </c>
    </row>
    <row r="269" spans="5:9" ht="13.5" thickBot="1">
      <c r="E269" s="56" t="s">
        <v>343</v>
      </c>
      <c r="F269" s="56"/>
      <c r="G269" s="26">
        <f>SUM(G266:G268)</f>
        <v>199260000</v>
      </c>
      <c r="H269" s="26">
        <f>SUM(H266:H268)</f>
        <v>2841059.5199999996</v>
      </c>
      <c r="I269" s="26">
        <f>G269+H269</f>
        <v>202101059.52</v>
      </c>
    </row>
    <row r="270" spans="5:9" ht="12.75">
      <c r="E270" s="58" t="s">
        <v>708</v>
      </c>
      <c r="F270" s="58"/>
      <c r="G270" s="25"/>
      <c r="H270" s="25"/>
      <c r="I270" s="25"/>
    </row>
    <row r="271" spans="4:9" ht="12.75">
      <c r="D271" s="5" t="s">
        <v>772</v>
      </c>
      <c r="E271" s="55" t="s">
        <v>773</v>
      </c>
      <c r="F271" s="55"/>
      <c r="G271" s="24">
        <f>+G266</f>
        <v>199260000</v>
      </c>
      <c r="H271" s="24">
        <v>0</v>
      </c>
      <c r="I271" s="24">
        <f>G271+H271</f>
        <v>199260000</v>
      </c>
    </row>
    <row r="272" spans="4:9" ht="12.75">
      <c r="D272" s="5" t="s">
        <v>780</v>
      </c>
      <c r="E272" s="55" t="s">
        <v>781</v>
      </c>
      <c r="F272" s="55"/>
      <c r="G272" s="24">
        <v>0</v>
      </c>
      <c r="H272" s="24">
        <f>+H267</f>
        <v>2506317.03</v>
      </c>
      <c r="I272" s="24">
        <f>G272+H272</f>
        <v>2506317.03</v>
      </c>
    </row>
    <row r="273" spans="4:9" ht="13.5" thickBot="1">
      <c r="D273" s="5" t="s">
        <v>979</v>
      </c>
      <c r="E273" s="55" t="s">
        <v>374</v>
      </c>
      <c r="F273" s="55"/>
      <c r="G273" s="24">
        <v>0</v>
      </c>
      <c r="H273" s="24">
        <f>+H268</f>
        <v>334742.49</v>
      </c>
      <c r="I273" s="24">
        <f>G273+H273</f>
        <v>334742.49</v>
      </c>
    </row>
    <row r="274" spans="5:9" ht="13.5" thickBot="1">
      <c r="E274" s="56" t="s">
        <v>709</v>
      </c>
      <c r="F274" s="56"/>
      <c r="G274" s="26">
        <f>SUM(G271:G273)</f>
        <v>199260000</v>
      </c>
      <c r="H274" s="26">
        <f>SUM(H271:H273)</f>
        <v>2841059.5199999996</v>
      </c>
      <c r="I274" s="26">
        <f>G274+H274</f>
        <v>202101059.52</v>
      </c>
    </row>
    <row r="276" spans="1:6" ht="12.75">
      <c r="A276" s="8" t="s">
        <v>766</v>
      </c>
      <c r="B276" s="9" t="s">
        <v>823</v>
      </c>
      <c r="C276" s="8"/>
      <c r="D276" s="9"/>
      <c r="E276" s="57" t="s">
        <v>949</v>
      </c>
      <c r="F276" s="57"/>
    </row>
    <row r="277" spans="1:6" ht="12.75">
      <c r="A277" s="8"/>
      <c r="B277" s="9"/>
      <c r="C277" s="8" t="s">
        <v>792</v>
      </c>
      <c r="D277" s="9"/>
      <c r="E277" s="57" t="s">
        <v>793</v>
      </c>
      <c r="F277" s="57"/>
    </row>
    <row r="278" spans="4:9" ht="12.75">
      <c r="D278" s="5" t="s">
        <v>911</v>
      </c>
      <c r="E278" s="55" t="s">
        <v>199</v>
      </c>
      <c r="F278" s="55"/>
      <c r="G278" s="24">
        <v>23742000</v>
      </c>
      <c r="H278" s="24">
        <v>0</v>
      </c>
      <c r="I278" s="24">
        <f aca="true" t="shared" si="12" ref="I278:I290">G278+H278</f>
        <v>23742000</v>
      </c>
    </row>
    <row r="279" spans="4:9" ht="12.75">
      <c r="D279" s="5" t="s">
        <v>912</v>
      </c>
      <c r="E279" s="55" t="s">
        <v>877</v>
      </c>
      <c r="F279" s="55"/>
      <c r="G279" s="24">
        <v>5406000</v>
      </c>
      <c r="H279" s="24">
        <v>0</v>
      </c>
      <c r="I279" s="24">
        <f t="shared" si="12"/>
        <v>5406000</v>
      </c>
    </row>
    <row r="280" spans="4:9" ht="12.75">
      <c r="D280" s="5" t="s">
        <v>921</v>
      </c>
      <c r="E280" s="55" t="s">
        <v>880</v>
      </c>
      <c r="F280" s="55"/>
      <c r="G280" s="24">
        <v>30000</v>
      </c>
      <c r="H280" s="24">
        <v>500000</v>
      </c>
      <c r="I280" s="24">
        <f t="shared" si="12"/>
        <v>530000</v>
      </c>
    </row>
    <row r="281" spans="4:9" ht="12.75">
      <c r="D281" s="5" t="s">
        <v>919</v>
      </c>
      <c r="E281" s="55" t="s">
        <v>200</v>
      </c>
      <c r="F281" s="55"/>
      <c r="G281" s="24">
        <v>290000</v>
      </c>
      <c r="H281" s="24">
        <v>0</v>
      </c>
      <c r="I281" s="24">
        <f t="shared" si="12"/>
        <v>290000</v>
      </c>
    </row>
    <row r="282" spans="4:9" ht="12.75">
      <c r="D282" s="5" t="s">
        <v>922</v>
      </c>
      <c r="E282" s="55" t="s">
        <v>201</v>
      </c>
      <c r="F282" s="55"/>
      <c r="G282" s="24">
        <v>0</v>
      </c>
      <c r="H282" s="24">
        <v>150000</v>
      </c>
      <c r="I282" s="24">
        <f t="shared" si="12"/>
        <v>150000</v>
      </c>
    </row>
    <row r="283" spans="4:9" ht="12.75">
      <c r="D283" s="5" t="s">
        <v>913</v>
      </c>
      <c r="E283" s="55" t="s">
        <v>881</v>
      </c>
      <c r="F283" s="55"/>
      <c r="G283" s="24">
        <v>2666000</v>
      </c>
      <c r="H283" s="24">
        <v>4000000</v>
      </c>
      <c r="I283" s="24">
        <f t="shared" si="12"/>
        <v>6666000</v>
      </c>
    </row>
    <row r="284" spans="4:9" ht="12.75">
      <c r="D284" s="5" t="s">
        <v>915</v>
      </c>
      <c r="E284" s="55" t="s">
        <v>879</v>
      </c>
      <c r="F284" s="55"/>
      <c r="G284" s="24">
        <v>1135000</v>
      </c>
      <c r="H284" s="24">
        <v>7246687.85</v>
      </c>
      <c r="I284" s="24">
        <f t="shared" si="12"/>
        <v>8381687.85</v>
      </c>
    </row>
    <row r="285" spans="4:9" ht="12.75">
      <c r="D285" s="5" t="s">
        <v>916</v>
      </c>
      <c r="E285" s="55" t="s">
        <v>882</v>
      </c>
      <c r="F285" s="55"/>
      <c r="G285" s="24">
        <v>1530000</v>
      </c>
      <c r="H285" s="24">
        <v>15761370.02</v>
      </c>
      <c r="I285" s="24">
        <f t="shared" si="12"/>
        <v>17291370.02</v>
      </c>
    </row>
    <row r="286" spans="4:9" ht="12.75">
      <c r="D286" s="5" t="s">
        <v>923</v>
      </c>
      <c r="E286" s="55" t="s">
        <v>883</v>
      </c>
      <c r="F286" s="55"/>
      <c r="G286" s="24">
        <v>196000</v>
      </c>
      <c r="H286" s="24">
        <v>100000</v>
      </c>
      <c r="I286" s="24">
        <f t="shared" si="12"/>
        <v>296000</v>
      </c>
    </row>
    <row r="287" spans="4:9" ht="12.75">
      <c r="D287" s="5" t="s">
        <v>924</v>
      </c>
      <c r="E287" s="55" t="s">
        <v>203</v>
      </c>
      <c r="F287" s="55"/>
      <c r="G287" s="24">
        <f>18750000-2750000</f>
        <v>16000000</v>
      </c>
      <c r="H287" s="24">
        <v>7041911.74</v>
      </c>
      <c r="I287" s="24">
        <f t="shared" si="12"/>
        <v>23041911.740000002</v>
      </c>
    </row>
    <row r="288" spans="4:9" ht="12.75">
      <c r="D288" s="5" t="s">
        <v>925</v>
      </c>
      <c r="E288" s="55" t="s">
        <v>884</v>
      </c>
      <c r="F288" s="55"/>
      <c r="G288" s="24">
        <v>5720000</v>
      </c>
      <c r="H288" s="24">
        <v>18682303.71</v>
      </c>
      <c r="I288" s="24">
        <f t="shared" si="12"/>
        <v>24402303.71</v>
      </c>
    </row>
    <row r="289" spans="4:9" ht="12.75">
      <c r="D289" s="5" t="s">
        <v>754</v>
      </c>
      <c r="E289" s="55" t="s">
        <v>212</v>
      </c>
      <c r="F289" s="55"/>
      <c r="G289" s="24">
        <v>100000</v>
      </c>
      <c r="H289" s="24">
        <v>0</v>
      </c>
      <c r="I289" s="24">
        <f t="shared" si="12"/>
        <v>100000</v>
      </c>
    </row>
    <row r="290" spans="4:9" ht="13.5" thickBot="1">
      <c r="D290" s="5" t="s">
        <v>927</v>
      </c>
      <c r="E290" s="55" t="s">
        <v>886</v>
      </c>
      <c r="F290" s="55"/>
      <c r="G290" s="24">
        <v>79000</v>
      </c>
      <c r="H290" s="24">
        <v>0</v>
      </c>
      <c r="I290" s="24">
        <f t="shared" si="12"/>
        <v>79000</v>
      </c>
    </row>
    <row r="291" spans="5:9" ht="12.75">
      <c r="E291" s="58" t="s">
        <v>712</v>
      </c>
      <c r="F291" s="58"/>
      <c r="G291" s="25"/>
      <c r="H291" s="25"/>
      <c r="I291" s="25"/>
    </row>
    <row r="292" spans="4:9" ht="12.75">
      <c r="D292" s="5" t="s">
        <v>772</v>
      </c>
      <c r="E292" s="55" t="s">
        <v>773</v>
      </c>
      <c r="F292" s="55"/>
      <c r="G292" s="24">
        <f>SUM(G278:G291)</f>
        <v>56894000</v>
      </c>
      <c r="I292" s="24">
        <f>G292+H292</f>
        <v>56894000</v>
      </c>
    </row>
    <row r="293" spans="4:9" ht="12.75">
      <c r="D293" s="5" t="s">
        <v>784</v>
      </c>
      <c r="E293" s="55" t="s">
        <v>785</v>
      </c>
      <c r="F293" s="55"/>
      <c r="H293" s="24">
        <v>43393000</v>
      </c>
      <c r="I293" s="24">
        <f>G293+H293</f>
        <v>43393000</v>
      </c>
    </row>
    <row r="294" spans="4:9" ht="13.5" thickBot="1">
      <c r="D294" s="5" t="s">
        <v>825</v>
      </c>
      <c r="E294" s="55" t="s">
        <v>905</v>
      </c>
      <c r="F294" s="55"/>
      <c r="H294" s="24">
        <v>10089273.32</v>
      </c>
      <c r="I294" s="24">
        <f>G294+H294</f>
        <v>10089273.32</v>
      </c>
    </row>
    <row r="295" spans="5:9" ht="13.5" thickBot="1">
      <c r="E295" s="56" t="s">
        <v>713</v>
      </c>
      <c r="F295" s="56"/>
      <c r="G295" s="26">
        <f>SUM(G292:G294)</f>
        <v>56894000</v>
      </c>
      <c r="H295" s="26">
        <f>SUM(H292:H294)</f>
        <v>53482273.32</v>
      </c>
      <c r="I295" s="26">
        <f>G295+H295</f>
        <v>110376273.32</v>
      </c>
    </row>
    <row r="296" spans="5:9" ht="12.75">
      <c r="E296" s="58" t="s">
        <v>710</v>
      </c>
      <c r="F296" s="58"/>
      <c r="G296" s="25"/>
      <c r="H296" s="25"/>
      <c r="I296" s="25"/>
    </row>
    <row r="297" spans="4:9" ht="12.75">
      <c r="D297" s="5" t="s">
        <v>772</v>
      </c>
      <c r="E297" s="55" t="s">
        <v>773</v>
      </c>
      <c r="F297" s="55"/>
      <c r="G297" s="24">
        <f>+G292</f>
        <v>56894000</v>
      </c>
      <c r="H297" s="24">
        <v>0</v>
      </c>
      <c r="I297" s="24">
        <f>G297+H297</f>
        <v>56894000</v>
      </c>
    </row>
    <row r="298" spans="4:9" ht="12.75">
      <c r="D298" s="5" t="s">
        <v>784</v>
      </c>
      <c r="E298" s="55" t="s">
        <v>785</v>
      </c>
      <c r="F298" s="55"/>
      <c r="G298" s="24">
        <v>0</v>
      </c>
      <c r="H298" s="24">
        <v>43393000</v>
      </c>
      <c r="I298" s="24">
        <f>G298+H298</f>
        <v>43393000</v>
      </c>
    </row>
    <row r="299" spans="4:9" ht="13.5" thickBot="1">
      <c r="D299" s="5" t="s">
        <v>825</v>
      </c>
      <c r="E299" s="55" t="s">
        <v>905</v>
      </c>
      <c r="F299" s="55"/>
      <c r="G299" s="24">
        <v>0</v>
      </c>
      <c r="H299" s="24">
        <v>10089273.32</v>
      </c>
      <c r="I299" s="24">
        <f>G299+H299</f>
        <v>10089273.32</v>
      </c>
    </row>
    <row r="300" spans="5:9" ht="13.5" thickBot="1">
      <c r="E300" s="56" t="s">
        <v>711</v>
      </c>
      <c r="F300" s="56"/>
      <c r="G300" s="26">
        <f>SUM(G297:G299)</f>
        <v>56894000</v>
      </c>
      <c r="H300" s="26">
        <f>SUM(H297:H299)</f>
        <v>53482273.32</v>
      </c>
      <c r="I300" s="26">
        <f>G300+H300</f>
        <v>110376273.32</v>
      </c>
    </row>
    <row r="301" spans="5:9" ht="12.75">
      <c r="E301" s="58" t="s">
        <v>714</v>
      </c>
      <c r="F301" s="58"/>
      <c r="G301" s="25"/>
      <c r="H301" s="25"/>
      <c r="I301" s="25"/>
    </row>
    <row r="302" spans="4:9" ht="12.75">
      <c r="D302" s="5" t="s">
        <v>772</v>
      </c>
      <c r="E302" s="55" t="s">
        <v>773</v>
      </c>
      <c r="F302" s="55"/>
      <c r="G302" s="24">
        <f>+G297+G271+G247+G223+G203+G188+G166+G147+G125+G106</f>
        <v>555259000</v>
      </c>
      <c r="H302" s="24">
        <v>0</v>
      </c>
      <c r="I302" s="24">
        <f aca="true" t="shared" si="13" ref="I302:I308">G302+H302</f>
        <v>555259000</v>
      </c>
    </row>
    <row r="303" spans="4:9" ht="12.75">
      <c r="D303" s="5" t="s">
        <v>784</v>
      </c>
      <c r="E303" s="55" t="s">
        <v>785</v>
      </c>
      <c r="F303" s="55"/>
      <c r="G303" s="24">
        <v>0</v>
      </c>
      <c r="H303" s="24">
        <f>+H298</f>
        <v>43393000</v>
      </c>
      <c r="I303" s="24">
        <f t="shared" si="13"/>
        <v>43393000</v>
      </c>
    </row>
    <row r="304" spans="4:9" ht="12.75">
      <c r="D304" s="5" t="s">
        <v>778</v>
      </c>
      <c r="E304" s="55" t="s">
        <v>779</v>
      </c>
      <c r="F304" s="55"/>
      <c r="G304" s="24">
        <v>0</v>
      </c>
      <c r="H304" s="24">
        <f>+H189</f>
        <v>248000</v>
      </c>
      <c r="I304" s="24">
        <f t="shared" si="13"/>
        <v>248000</v>
      </c>
    </row>
    <row r="305" spans="4:9" ht="12.75">
      <c r="D305" s="5" t="s">
        <v>780</v>
      </c>
      <c r="E305" s="55" t="s">
        <v>781</v>
      </c>
      <c r="F305" s="55"/>
      <c r="G305" s="24">
        <v>0</v>
      </c>
      <c r="H305" s="24">
        <f>+H272+H248+H190</f>
        <v>15602935.06</v>
      </c>
      <c r="I305" s="24">
        <f t="shared" si="13"/>
        <v>15602935.06</v>
      </c>
    </row>
    <row r="306" spans="4:9" ht="12.75">
      <c r="D306" s="5" t="s">
        <v>825</v>
      </c>
      <c r="E306" s="55" t="s">
        <v>905</v>
      </c>
      <c r="F306" s="55"/>
      <c r="G306" s="24">
        <v>0</v>
      </c>
      <c r="H306" s="24">
        <f>+H299</f>
        <v>10089273.32</v>
      </c>
      <c r="I306" s="24">
        <f t="shared" si="13"/>
        <v>10089273.32</v>
      </c>
    </row>
    <row r="307" spans="4:9" ht="13.5" thickBot="1">
      <c r="D307" s="5" t="s">
        <v>979</v>
      </c>
      <c r="E307" s="55" t="s">
        <v>374</v>
      </c>
      <c r="F307" s="55"/>
      <c r="G307" s="24">
        <v>0</v>
      </c>
      <c r="H307" s="24">
        <f>+H273+H249</f>
        <v>12444084.59</v>
      </c>
      <c r="I307" s="24">
        <f t="shared" si="13"/>
        <v>12444084.59</v>
      </c>
    </row>
    <row r="308" spans="5:9" ht="13.5" thickBot="1">
      <c r="E308" s="56" t="s">
        <v>715</v>
      </c>
      <c r="F308" s="56"/>
      <c r="G308" s="26">
        <f>SUM(G302:G307)</f>
        <v>555259000</v>
      </c>
      <c r="H308" s="26">
        <f>SUM(H302:H307)</f>
        <v>81777292.97</v>
      </c>
      <c r="I308" s="26">
        <f t="shared" si="13"/>
        <v>637036292.97</v>
      </c>
    </row>
    <row r="310" spans="1:6" ht="12.75">
      <c r="A310" s="8" t="s">
        <v>950</v>
      </c>
      <c r="B310" s="9" t="s">
        <v>766</v>
      </c>
      <c r="C310" s="8"/>
      <c r="D310" s="9"/>
      <c r="E310" s="57" t="s">
        <v>951</v>
      </c>
      <c r="F310" s="57"/>
    </row>
    <row r="311" spans="1:6" ht="12.75">
      <c r="A311" s="8"/>
      <c r="B311" s="9"/>
      <c r="C311" s="8" t="s">
        <v>782</v>
      </c>
      <c r="D311" s="9"/>
      <c r="E311" s="57" t="s">
        <v>783</v>
      </c>
      <c r="F311" s="57"/>
    </row>
    <row r="312" spans="4:9" ht="12.75">
      <c r="D312" s="5" t="s">
        <v>911</v>
      </c>
      <c r="E312" s="55" t="s">
        <v>199</v>
      </c>
      <c r="F312" s="55"/>
      <c r="G312" s="24">
        <v>27279000</v>
      </c>
      <c r="H312" s="24">
        <v>0</v>
      </c>
      <c r="I312" s="24">
        <f aca="true" t="shared" si="14" ref="I312:I319">G312+H312</f>
        <v>27279000</v>
      </c>
    </row>
    <row r="313" spans="4:9" ht="12.75">
      <c r="D313" s="5" t="s">
        <v>912</v>
      </c>
      <c r="E313" s="55" t="s">
        <v>877</v>
      </c>
      <c r="F313" s="55"/>
      <c r="G313" s="24">
        <v>4678000</v>
      </c>
      <c r="H313" s="24">
        <v>0</v>
      </c>
      <c r="I313" s="24">
        <f t="shared" si="14"/>
        <v>4678000</v>
      </c>
    </row>
    <row r="314" spans="4:9" ht="12.75">
      <c r="D314" s="5" t="s">
        <v>921</v>
      </c>
      <c r="E314" s="55" t="s">
        <v>880</v>
      </c>
      <c r="F314" s="55"/>
      <c r="G314" s="24">
        <v>100000</v>
      </c>
      <c r="H314" s="24">
        <v>0</v>
      </c>
      <c r="I314" s="24">
        <f t="shared" si="14"/>
        <v>100000</v>
      </c>
    </row>
    <row r="315" spans="4:9" ht="12.75">
      <c r="D315" s="5" t="s">
        <v>919</v>
      </c>
      <c r="E315" s="55" t="s">
        <v>200</v>
      </c>
      <c r="F315" s="55"/>
      <c r="G315" s="24">
        <v>275000</v>
      </c>
      <c r="H315" s="24">
        <v>0</v>
      </c>
      <c r="I315" s="24">
        <f t="shared" si="14"/>
        <v>275000</v>
      </c>
    </row>
    <row r="316" spans="4:9" ht="12.75">
      <c r="D316" s="5" t="s">
        <v>913</v>
      </c>
      <c r="E316" s="55" t="s">
        <v>881</v>
      </c>
      <c r="F316" s="55"/>
      <c r="G316" s="24">
        <v>186000</v>
      </c>
      <c r="H316" s="24">
        <v>0</v>
      </c>
      <c r="I316" s="24">
        <f t="shared" si="14"/>
        <v>186000</v>
      </c>
    </row>
    <row r="317" spans="4:9" ht="12.75">
      <c r="D317" s="5" t="s">
        <v>915</v>
      </c>
      <c r="E317" s="55" t="s">
        <v>879</v>
      </c>
      <c r="F317" s="55"/>
      <c r="G317" s="24">
        <f>50000+50000</f>
        <v>100000</v>
      </c>
      <c r="H317" s="24">
        <v>0</v>
      </c>
      <c r="I317" s="24">
        <f t="shared" si="14"/>
        <v>100000</v>
      </c>
    </row>
    <row r="318" spans="4:9" ht="12.75">
      <c r="D318" s="5" t="s">
        <v>916</v>
      </c>
      <c r="E318" s="55" t="s">
        <v>882</v>
      </c>
      <c r="F318" s="55"/>
      <c r="G318" s="24">
        <v>150000</v>
      </c>
      <c r="H318" s="24">
        <v>0</v>
      </c>
      <c r="I318" s="24">
        <f t="shared" si="14"/>
        <v>150000</v>
      </c>
    </row>
    <row r="319" spans="4:9" ht="13.5" thickBot="1">
      <c r="D319" s="5" t="s">
        <v>925</v>
      </c>
      <c r="E319" s="55" t="s">
        <v>884</v>
      </c>
      <c r="F319" s="55"/>
      <c r="G319" s="24">
        <v>180000</v>
      </c>
      <c r="H319" s="24">
        <v>0</v>
      </c>
      <c r="I319" s="24">
        <f t="shared" si="14"/>
        <v>180000</v>
      </c>
    </row>
    <row r="320" spans="5:9" ht="12.75">
      <c r="E320" s="58" t="s">
        <v>716</v>
      </c>
      <c r="F320" s="58"/>
      <c r="G320" s="25"/>
      <c r="H320" s="25"/>
      <c r="I320" s="25"/>
    </row>
    <row r="321" spans="4:9" ht="13.5" thickBot="1">
      <c r="D321" s="5" t="s">
        <v>772</v>
      </c>
      <c r="E321" s="55" t="s">
        <v>773</v>
      </c>
      <c r="F321" s="55"/>
      <c r="G321" s="24">
        <f>SUM(G312:G320)</f>
        <v>32948000</v>
      </c>
      <c r="I321" s="24">
        <f>G321+H321</f>
        <v>32948000</v>
      </c>
    </row>
    <row r="322" spans="5:9" ht="13.5" thickBot="1">
      <c r="E322" s="56" t="s">
        <v>717</v>
      </c>
      <c r="F322" s="56"/>
      <c r="G322" s="26">
        <f>SUM(G321:G321)</f>
        <v>32948000</v>
      </c>
      <c r="H322" s="26">
        <f>SUM(H321:H321)</f>
        <v>0</v>
      </c>
      <c r="I322" s="26">
        <f>G322+H322</f>
        <v>32948000</v>
      </c>
    </row>
    <row r="323" spans="5:9" ht="12.75">
      <c r="E323" s="58" t="s">
        <v>718</v>
      </c>
      <c r="F323" s="58"/>
      <c r="G323" s="25"/>
      <c r="H323" s="25"/>
      <c r="I323" s="25"/>
    </row>
    <row r="324" spans="4:9" ht="13.5" thickBot="1">
      <c r="D324" s="5" t="s">
        <v>772</v>
      </c>
      <c r="E324" s="55" t="s">
        <v>773</v>
      </c>
      <c r="F324" s="55"/>
      <c r="G324" s="24">
        <f>+G321</f>
        <v>32948000</v>
      </c>
      <c r="H324" s="24">
        <v>0</v>
      </c>
      <c r="I324" s="24">
        <f>G324+H324</f>
        <v>32948000</v>
      </c>
    </row>
    <row r="325" spans="5:9" ht="13.5" thickBot="1">
      <c r="E325" s="56" t="s">
        <v>719</v>
      </c>
      <c r="F325" s="56"/>
      <c r="G325" s="26">
        <f>SUM(G324:G324)</f>
        <v>32948000</v>
      </c>
      <c r="H325" s="26">
        <f>SUM(H324:H324)</f>
        <v>0</v>
      </c>
      <c r="I325" s="26">
        <f>G325+H325</f>
        <v>32948000</v>
      </c>
    </row>
    <row r="327" spans="1:6" ht="12.75">
      <c r="A327" s="8" t="s">
        <v>952</v>
      </c>
      <c r="B327" s="9" t="s">
        <v>766</v>
      </c>
      <c r="C327" s="8"/>
      <c r="D327" s="9"/>
      <c r="E327" s="57" t="s">
        <v>953</v>
      </c>
      <c r="F327" s="57"/>
    </row>
    <row r="328" spans="1:6" ht="12.75">
      <c r="A328" s="8"/>
      <c r="B328" s="9"/>
      <c r="C328" s="8" t="s">
        <v>782</v>
      </c>
      <c r="D328" s="9"/>
      <c r="E328" s="57" t="s">
        <v>783</v>
      </c>
      <c r="F328" s="57"/>
    </row>
    <row r="329" spans="4:9" ht="12.75">
      <c r="D329" s="5" t="s">
        <v>911</v>
      </c>
      <c r="E329" s="55" t="s">
        <v>199</v>
      </c>
      <c r="F329" s="55"/>
      <c r="G329" s="24">
        <v>78790000</v>
      </c>
      <c r="H329" s="24">
        <v>1101416000</v>
      </c>
      <c r="I329" s="24">
        <f aca="true" t="shared" si="15" ref="I329:I340">G329+H329</f>
        <v>1180206000</v>
      </c>
    </row>
    <row r="330" spans="4:9" ht="12.75">
      <c r="D330" s="5" t="s">
        <v>912</v>
      </c>
      <c r="E330" s="55" t="s">
        <v>877</v>
      </c>
      <c r="F330" s="55"/>
      <c r="G330" s="24">
        <v>13813000</v>
      </c>
      <c r="H330" s="24">
        <v>185094000</v>
      </c>
      <c r="I330" s="24">
        <f t="shared" si="15"/>
        <v>198907000</v>
      </c>
    </row>
    <row r="331" spans="4:9" ht="12.75">
      <c r="D331" s="5" t="s">
        <v>921</v>
      </c>
      <c r="E331" s="55" t="s">
        <v>880</v>
      </c>
      <c r="F331" s="55"/>
      <c r="G331" s="24">
        <v>0</v>
      </c>
      <c r="H331" s="24">
        <v>8853000</v>
      </c>
      <c r="I331" s="24">
        <f t="shared" si="15"/>
        <v>8853000</v>
      </c>
    </row>
    <row r="332" spans="4:9" ht="12.75">
      <c r="D332" s="5" t="s">
        <v>919</v>
      </c>
      <c r="E332" s="55" t="s">
        <v>200</v>
      </c>
      <c r="F332" s="55"/>
      <c r="G332" s="24">
        <v>0</v>
      </c>
      <c r="H332" s="24">
        <v>12000000</v>
      </c>
      <c r="I332" s="24">
        <f t="shared" si="15"/>
        <v>12000000</v>
      </c>
    </row>
    <row r="333" spans="4:9" ht="12.75">
      <c r="D333" s="5" t="s">
        <v>922</v>
      </c>
      <c r="E333" s="55" t="s">
        <v>201</v>
      </c>
      <c r="F333" s="55"/>
      <c r="G333" s="24">
        <v>0</v>
      </c>
      <c r="H333" s="24">
        <v>31982332</v>
      </c>
      <c r="I333" s="24">
        <f t="shared" si="15"/>
        <v>31982332</v>
      </c>
    </row>
    <row r="334" spans="4:9" ht="12.75">
      <c r="D334" s="5" t="s">
        <v>913</v>
      </c>
      <c r="E334" s="55" t="s">
        <v>881</v>
      </c>
      <c r="F334" s="55"/>
      <c r="G334" s="24">
        <v>0</v>
      </c>
      <c r="H334" s="24">
        <v>250718000</v>
      </c>
      <c r="I334" s="24">
        <f t="shared" si="15"/>
        <v>250718000</v>
      </c>
    </row>
    <row r="335" spans="4:9" ht="12.75">
      <c r="D335" s="5" t="s">
        <v>915</v>
      </c>
      <c r="E335" s="55" t="s">
        <v>879</v>
      </c>
      <c r="F335" s="55"/>
      <c r="G335" s="24">
        <v>0</v>
      </c>
      <c r="H335" s="24">
        <v>7465000</v>
      </c>
      <c r="I335" s="24">
        <f t="shared" si="15"/>
        <v>7465000</v>
      </c>
    </row>
    <row r="336" spans="4:9" ht="12.75">
      <c r="D336" s="5" t="s">
        <v>916</v>
      </c>
      <c r="E336" s="55" t="s">
        <v>882</v>
      </c>
      <c r="F336" s="55"/>
      <c r="G336" s="24">
        <v>135000000</v>
      </c>
      <c r="H336" s="24">
        <v>416314000</v>
      </c>
      <c r="I336" s="24">
        <f t="shared" si="15"/>
        <v>551314000</v>
      </c>
    </row>
    <row r="337" spans="4:9" ht="12.75">
      <c r="D337" s="5" t="s">
        <v>924</v>
      </c>
      <c r="E337" s="55" t="s">
        <v>203</v>
      </c>
      <c r="F337" s="55"/>
      <c r="G337" s="24">
        <v>0</v>
      </c>
      <c r="H337" s="24">
        <v>50847000</v>
      </c>
      <c r="I337" s="24">
        <f t="shared" si="15"/>
        <v>50847000</v>
      </c>
    </row>
    <row r="338" spans="4:9" ht="12.75">
      <c r="D338" s="5" t="s">
        <v>925</v>
      </c>
      <c r="E338" s="55" t="s">
        <v>884</v>
      </c>
      <c r="F338" s="55"/>
      <c r="G338" s="24">
        <v>0</v>
      </c>
      <c r="H338" s="24">
        <v>133488370</v>
      </c>
      <c r="I338" s="24">
        <f t="shared" si="15"/>
        <v>133488370</v>
      </c>
    </row>
    <row r="339" spans="4:9" ht="12.75">
      <c r="D339" s="5" t="s">
        <v>926</v>
      </c>
      <c r="E339" s="55" t="s">
        <v>885</v>
      </c>
      <c r="F339" s="55"/>
      <c r="G339" s="24">
        <v>222015000</v>
      </c>
      <c r="H339" s="24">
        <v>311593000</v>
      </c>
      <c r="I339" s="24">
        <f t="shared" si="15"/>
        <v>533608000</v>
      </c>
    </row>
    <row r="340" spans="4:9" ht="13.5" thickBot="1">
      <c r="D340" s="5" t="s">
        <v>927</v>
      </c>
      <c r="E340" s="55" t="s">
        <v>886</v>
      </c>
      <c r="F340" s="55"/>
      <c r="G340" s="24">
        <v>0</v>
      </c>
      <c r="H340" s="24">
        <v>333390000</v>
      </c>
      <c r="I340" s="24">
        <f t="shared" si="15"/>
        <v>333390000</v>
      </c>
    </row>
    <row r="341" spans="5:9" ht="12.75">
      <c r="E341" s="58" t="s">
        <v>716</v>
      </c>
      <c r="F341" s="58"/>
      <c r="G341" s="25"/>
      <c r="H341" s="25"/>
      <c r="I341" s="25"/>
    </row>
    <row r="342" spans="4:9" ht="12.75">
      <c r="D342" s="5" t="s">
        <v>772</v>
      </c>
      <c r="E342" s="55" t="s">
        <v>773</v>
      </c>
      <c r="F342" s="55"/>
      <c r="G342" s="24">
        <f>SUM(G329:G341)</f>
        <v>449618000</v>
      </c>
      <c r="I342" s="24">
        <f>G342+H342</f>
        <v>449618000</v>
      </c>
    </row>
    <row r="343" spans="4:9" ht="12.75">
      <c r="D343" s="5" t="s">
        <v>784</v>
      </c>
      <c r="E343" s="55" t="s">
        <v>785</v>
      </c>
      <c r="F343" s="55"/>
      <c r="H343" s="24">
        <v>2220336702</v>
      </c>
      <c r="I343" s="24">
        <f>G343+H343</f>
        <v>2220336702</v>
      </c>
    </row>
    <row r="344" spans="4:9" ht="12.75">
      <c r="D344" s="5" t="s">
        <v>786</v>
      </c>
      <c r="E344" s="55" t="s">
        <v>787</v>
      </c>
      <c r="F344" s="55"/>
      <c r="H344" s="24">
        <v>1250000</v>
      </c>
      <c r="I344" s="24">
        <f>G344+H344</f>
        <v>1250000</v>
      </c>
    </row>
    <row r="345" spans="4:9" ht="13.5" thickBot="1">
      <c r="D345" s="5" t="s">
        <v>825</v>
      </c>
      <c r="E345" s="55" t="s">
        <v>905</v>
      </c>
      <c r="F345" s="55"/>
      <c r="H345" s="24">
        <v>621574000</v>
      </c>
      <c r="I345" s="24">
        <f>G345+H345</f>
        <v>621574000</v>
      </c>
    </row>
    <row r="346" spans="5:9" ht="13.5" thickBot="1">
      <c r="E346" s="56" t="s">
        <v>717</v>
      </c>
      <c r="F346" s="56"/>
      <c r="G346" s="26">
        <f>SUM(G342:G345)</f>
        <v>449618000</v>
      </c>
      <c r="H346" s="26">
        <f>SUM(H342:H345)</f>
        <v>2843160702</v>
      </c>
      <c r="I346" s="26">
        <f>G346+H346</f>
        <v>3292778702</v>
      </c>
    </row>
    <row r="347" spans="5:9" ht="12.75">
      <c r="E347" s="58" t="s">
        <v>344</v>
      </c>
      <c r="F347" s="58"/>
      <c r="G347" s="25"/>
      <c r="H347" s="25"/>
      <c r="I347" s="25"/>
    </row>
    <row r="348" spans="4:9" ht="12.75">
      <c r="D348" s="5" t="s">
        <v>772</v>
      </c>
      <c r="E348" s="55" t="s">
        <v>773</v>
      </c>
      <c r="F348" s="55"/>
      <c r="G348" s="24">
        <f>+G342</f>
        <v>449618000</v>
      </c>
      <c r="H348" s="24">
        <v>0</v>
      </c>
      <c r="I348" s="24">
        <f>G348+H348</f>
        <v>449618000</v>
      </c>
    </row>
    <row r="349" spans="4:9" ht="12.75">
      <c r="D349" s="5" t="s">
        <v>784</v>
      </c>
      <c r="E349" s="55" t="s">
        <v>785</v>
      </c>
      <c r="F349" s="55"/>
      <c r="G349" s="24">
        <v>0</v>
      </c>
      <c r="H349" s="24">
        <f>+H343</f>
        <v>2220336702</v>
      </c>
      <c r="I349" s="24">
        <f>G349+H349</f>
        <v>2220336702</v>
      </c>
    </row>
    <row r="350" spans="4:9" ht="12.75">
      <c r="D350" s="5" t="s">
        <v>786</v>
      </c>
      <c r="E350" s="55" t="s">
        <v>787</v>
      </c>
      <c r="F350" s="55"/>
      <c r="G350" s="24">
        <v>0</v>
      </c>
      <c r="H350" s="24">
        <f>+H344</f>
        <v>1250000</v>
      </c>
      <c r="I350" s="24">
        <f>G350+H350</f>
        <v>1250000</v>
      </c>
    </row>
    <row r="351" spans="4:9" ht="13.5" thickBot="1">
      <c r="D351" s="5" t="s">
        <v>825</v>
      </c>
      <c r="E351" s="55" t="s">
        <v>905</v>
      </c>
      <c r="F351" s="55"/>
      <c r="G351" s="24">
        <v>0</v>
      </c>
      <c r="H351" s="24">
        <f>+H345</f>
        <v>621574000</v>
      </c>
      <c r="I351" s="24">
        <f>G351+H351</f>
        <v>621574000</v>
      </c>
    </row>
    <row r="352" spans="5:9" ht="13.5" thickBot="1">
      <c r="E352" s="56" t="s">
        <v>345</v>
      </c>
      <c r="F352" s="56"/>
      <c r="G352" s="26">
        <f>SUM(G348:G351)</f>
        <v>449618000</v>
      </c>
      <c r="H352" s="26">
        <f>SUM(H348:H351)</f>
        <v>2843160702</v>
      </c>
      <c r="I352" s="26">
        <f>G352+H352</f>
        <v>3292778702</v>
      </c>
    </row>
    <row r="353" ht="8.25" customHeight="1"/>
    <row r="354" spans="1:6" ht="12.75">
      <c r="A354" s="8" t="s">
        <v>766</v>
      </c>
      <c r="B354" s="9" t="s">
        <v>954</v>
      </c>
      <c r="C354" s="8"/>
      <c r="D354" s="9"/>
      <c r="E354" s="57" t="s">
        <v>431</v>
      </c>
      <c r="F354" s="57"/>
    </row>
    <row r="355" spans="1:6" ht="12.75">
      <c r="A355" s="8"/>
      <c r="B355" s="9"/>
      <c r="C355" s="8" t="s">
        <v>782</v>
      </c>
      <c r="D355" s="9"/>
      <c r="E355" s="57" t="s">
        <v>783</v>
      </c>
      <c r="F355" s="57"/>
    </row>
    <row r="356" spans="4:9" ht="12.75">
      <c r="D356" s="5" t="s">
        <v>911</v>
      </c>
      <c r="E356" s="55" t="s">
        <v>199</v>
      </c>
      <c r="F356" s="55"/>
      <c r="G356" s="24">
        <v>140955000</v>
      </c>
      <c r="H356" s="24">
        <v>50500000</v>
      </c>
      <c r="I356" s="24">
        <f aca="true" t="shared" si="16" ref="I356:I367">G356+H356</f>
        <v>191455000</v>
      </c>
    </row>
    <row r="357" spans="4:9" ht="12.75">
      <c r="D357" s="5" t="s">
        <v>912</v>
      </c>
      <c r="E357" s="55" t="s">
        <v>877</v>
      </c>
      <c r="F357" s="55"/>
      <c r="G357" s="24">
        <v>26087000</v>
      </c>
      <c r="H357" s="24">
        <v>9480000</v>
      </c>
      <c r="I357" s="24">
        <f t="shared" si="16"/>
        <v>35567000</v>
      </c>
    </row>
    <row r="358" spans="4:9" ht="12.75">
      <c r="D358" s="5" t="s">
        <v>918</v>
      </c>
      <c r="E358" s="55" t="s">
        <v>878</v>
      </c>
      <c r="F358" s="55"/>
      <c r="G358" s="24">
        <v>175000</v>
      </c>
      <c r="H358" s="24">
        <v>0</v>
      </c>
      <c r="I358" s="24">
        <f t="shared" si="16"/>
        <v>175000</v>
      </c>
    </row>
    <row r="359" spans="4:9" ht="12.75">
      <c r="D359" s="5" t="s">
        <v>921</v>
      </c>
      <c r="E359" s="55" t="s">
        <v>880</v>
      </c>
      <c r="F359" s="55"/>
      <c r="G359" s="24">
        <v>215000</v>
      </c>
      <c r="H359" s="24">
        <v>250000</v>
      </c>
      <c r="I359" s="24">
        <f t="shared" si="16"/>
        <v>465000</v>
      </c>
    </row>
    <row r="360" spans="4:9" ht="12.75">
      <c r="D360" s="5" t="s">
        <v>919</v>
      </c>
      <c r="E360" s="55" t="s">
        <v>200</v>
      </c>
      <c r="F360" s="55"/>
      <c r="G360" s="24">
        <v>5930000</v>
      </c>
      <c r="H360" s="24">
        <v>0</v>
      </c>
      <c r="I360" s="24">
        <f t="shared" si="16"/>
        <v>5930000</v>
      </c>
    </row>
    <row r="361" spans="4:9" ht="12.75">
      <c r="D361" s="5" t="s">
        <v>922</v>
      </c>
      <c r="E361" s="55" t="s">
        <v>201</v>
      </c>
      <c r="F361" s="55"/>
      <c r="G361" s="24">
        <v>0</v>
      </c>
      <c r="H361" s="24">
        <v>1472556</v>
      </c>
      <c r="I361" s="24">
        <f t="shared" si="16"/>
        <v>1472556</v>
      </c>
    </row>
    <row r="362" spans="4:9" ht="12.75">
      <c r="D362" s="5" t="s">
        <v>913</v>
      </c>
      <c r="E362" s="55" t="s">
        <v>881</v>
      </c>
      <c r="F362" s="55"/>
      <c r="G362" s="24">
        <v>1000000</v>
      </c>
      <c r="H362" s="24">
        <v>300000</v>
      </c>
      <c r="I362" s="24">
        <f t="shared" si="16"/>
        <v>1300000</v>
      </c>
    </row>
    <row r="363" spans="4:9" ht="12.75">
      <c r="D363" s="5" t="s">
        <v>915</v>
      </c>
      <c r="E363" s="55" t="s">
        <v>879</v>
      </c>
      <c r="F363" s="55"/>
      <c r="G363" s="24">
        <v>400000</v>
      </c>
      <c r="H363" s="24">
        <v>80000</v>
      </c>
      <c r="I363" s="24">
        <f t="shared" si="16"/>
        <v>480000</v>
      </c>
    </row>
    <row r="364" spans="4:9" ht="12.75">
      <c r="D364" s="5" t="s">
        <v>916</v>
      </c>
      <c r="E364" s="55" t="s">
        <v>882</v>
      </c>
      <c r="F364" s="55"/>
      <c r="G364" s="24">
        <v>1275000</v>
      </c>
      <c r="H364" s="24">
        <v>1000000</v>
      </c>
      <c r="I364" s="24">
        <f t="shared" si="16"/>
        <v>2275000</v>
      </c>
    </row>
    <row r="365" spans="4:9" ht="12.75">
      <c r="D365" s="5" t="s">
        <v>924</v>
      </c>
      <c r="E365" s="55" t="s">
        <v>203</v>
      </c>
      <c r="F365" s="55"/>
      <c r="G365" s="24">
        <v>150000</v>
      </c>
      <c r="H365" s="24">
        <v>0</v>
      </c>
      <c r="I365" s="24">
        <f t="shared" si="16"/>
        <v>150000</v>
      </c>
    </row>
    <row r="366" spans="4:9" ht="12.75">
      <c r="D366" s="5" t="s">
        <v>925</v>
      </c>
      <c r="E366" s="55" t="s">
        <v>884</v>
      </c>
      <c r="F366" s="55"/>
      <c r="G366" s="24">
        <v>1000000</v>
      </c>
      <c r="H366" s="24">
        <v>504630</v>
      </c>
      <c r="I366" s="24">
        <f t="shared" si="16"/>
        <v>1504630</v>
      </c>
    </row>
    <row r="367" spans="4:9" ht="13.5" thickBot="1">
      <c r="D367" s="5" t="s">
        <v>754</v>
      </c>
      <c r="E367" s="55" t="s">
        <v>212</v>
      </c>
      <c r="F367" s="55"/>
      <c r="G367" s="24">
        <v>20000</v>
      </c>
      <c r="H367" s="24">
        <v>20000</v>
      </c>
      <c r="I367" s="24">
        <f t="shared" si="16"/>
        <v>40000</v>
      </c>
    </row>
    <row r="368" spans="5:9" ht="12.75">
      <c r="E368" s="58" t="s">
        <v>716</v>
      </c>
      <c r="F368" s="58"/>
      <c r="G368" s="25"/>
      <c r="H368" s="25"/>
      <c r="I368" s="25"/>
    </row>
    <row r="369" spans="4:9" ht="12.75">
      <c r="D369" s="5" t="s">
        <v>772</v>
      </c>
      <c r="E369" s="55" t="s">
        <v>773</v>
      </c>
      <c r="F369" s="55"/>
      <c r="G369" s="24">
        <f>SUM(G356:G368)</f>
        <v>177207000</v>
      </c>
      <c r="I369" s="24">
        <f>G369+H369</f>
        <v>177207000</v>
      </c>
    </row>
    <row r="370" spans="4:9" ht="13.5" thickBot="1">
      <c r="D370" s="5" t="s">
        <v>784</v>
      </c>
      <c r="E370" s="55" t="s">
        <v>785</v>
      </c>
      <c r="F370" s="55"/>
      <c r="H370" s="24">
        <f>SUM(H356:H369)</f>
        <v>63607186</v>
      </c>
      <c r="I370" s="24">
        <f>G370+H370</f>
        <v>63607186</v>
      </c>
    </row>
    <row r="371" spans="5:9" ht="13.5" thickBot="1">
      <c r="E371" s="56" t="s">
        <v>717</v>
      </c>
      <c r="F371" s="56"/>
      <c r="G371" s="26">
        <f>SUM(G369:G370)</f>
        <v>177207000</v>
      </c>
      <c r="H371" s="26">
        <f>SUM(H369:H370)</f>
        <v>63607186</v>
      </c>
      <c r="I371" s="26">
        <f>G371+H371</f>
        <v>240814186</v>
      </c>
    </row>
    <row r="372" spans="5:9" ht="12.75">
      <c r="E372" s="58" t="s">
        <v>720</v>
      </c>
      <c r="F372" s="58"/>
      <c r="G372" s="25"/>
      <c r="H372" s="25"/>
      <c r="I372" s="25"/>
    </row>
    <row r="373" spans="4:9" ht="12.75">
      <c r="D373" s="5" t="s">
        <v>772</v>
      </c>
      <c r="E373" s="55" t="s">
        <v>773</v>
      </c>
      <c r="F373" s="55"/>
      <c r="G373" s="24">
        <f>+G369</f>
        <v>177207000</v>
      </c>
      <c r="H373" s="24">
        <v>0</v>
      </c>
      <c r="I373" s="24">
        <f>G373+H373</f>
        <v>177207000</v>
      </c>
    </row>
    <row r="374" spans="4:9" ht="13.5" thickBot="1">
      <c r="D374" s="5" t="s">
        <v>784</v>
      </c>
      <c r="E374" s="55" t="s">
        <v>785</v>
      </c>
      <c r="F374" s="55"/>
      <c r="G374" s="24">
        <v>0</v>
      </c>
      <c r="H374" s="24">
        <f>+H370</f>
        <v>63607186</v>
      </c>
      <c r="I374" s="24">
        <f>G374+H374</f>
        <v>63607186</v>
      </c>
    </row>
    <row r="375" spans="5:9" ht="13.5" thickBot="1">
      <c r="E375" s="56" t="s">
        <v>721</v>
      </c>
      <c r="F375" s="56"/>
      <c r="G375" s="26">
        <f>SUM(G373:G374)</f>
        <v>177207000</v>
      </c>
      <c r="H375" s="26">
        <f>SUM(H373:H374)</f>
        <v>63607186</v>
      </c>
      <c r="I375" s="26">
        <f>G375+H375</f>
        <v>240814186</v>
      </c>
    </row>
    <row r="376" ht="8.25" customHeight="1"/>
    <row r="377" spans="1:6" ht="12.75">
      <c r="A377" s="8" t="s">
        <v>766</v>
      </c>
      <c r="B377" s="9" t="s">
        <v>432</v>
      </c>
      <c r="C377" s="8"/>
      <c r="D377" s="9"/>
      <c r="E377" s="57" t="s">
        <v>433</v>
      </c>
      <c r="F377" s="57"/>
    </row>
    <row r="378" spans="1:6" ht="12.75">
      <c r="A378" s="8"/>
      <c r="B378" s="9"/>
      <c r="C378" s="8" t="s">
        <v>782</v>
      </c>
      <c r="D378" s="9"/>
      <c r="E378" s="57" t="s">
        <v>783</v>
      </c>
      <c r="F378" s="57"/>
    </row>
    <row r="379" spans="4:9" ht="12.75">
      <c r="D379" s="5" t="s">
        <v>911</v>
      </c>
      <c r="E379" s="55" t="s">
        <v>199</v>
      </c>
      <c r="F379" s="55"/>
      <c r="G379" s="24">
        <v>37441000</v>
      </c>
      <c r="H379" s="24">
        <v>9297000</v>
      </c>
      <c r="I379" s="24">
        <f aca="true" t="shared" si="17" ref="I379:I391">G379+H379</f>
        <v>46738000</v>
      </c>
    </row>
    <row r="380" spans="4:9" ht="12.75">
      <c r="D380" s="5" t="s">
        <v>912</v>
      </c>
      <c r="E380" s="55" t="s">
        <v>877</v>
      </c>
      <c r="F380" s="55"/>
      <c r="G380" s="24">
        <v>6776000</v>
      </c>
      <c r="H380" s="24">
        <v>1696000</v>
      </c>
      <c r="I380" s="24">
        <f t="shared" si="17"/>
        <v>8472000</v>
      </c>
    </row>
    <row r="381" spans="4:9" ht="12.75">
      <c r="D381" s="5" t="s">
        <v>918</v>
      </c>
      <c r="E381" s="55" t="s">
        <v>878</v>
      </c>
      <c r="F381" s="55"/>
      <c r="G381" s="24">
        <v>14000</v>
      </c>
      <c r="H381" s="24">
        <v>80000</v>
      </c>
      <c r="I381" s="24">
        <f t="shared" si="17"/>
        <v>94000</v>
      </c>
    </row>
    <row r="382" spans="4:9" ht="12.75">
      <c r="D382" s="5" t="s">
        <v>921</v>
      </c>
      <c r="E382" s="55" t="s">
        <v>880</v>
      </c>
      <c r="F382" s="55"/>
      <c r="G382" s="24">
        <v>170000</v>
      </c>
      <c r="H382" s="24">
        <v>0</v>
      </c>
      <c r="I382" s="24">
        <f t="shared" si="17"/>
        <v>170000</v>
      </c>
    </row>
    <row r="383" spans="4:9" ht="12.75">
      <c r="D383" s="5" t="s">
        <v>919</v>
      </c>
      <c r="E383" s="55" t="s">
        <v>200</v>
      </c>
      <c r="F383" s="55"/>
      <c r="G383" s="24">
        <v>2750000</v>
      </c>
      <c r="H383" s="24">
        <v>110000</v>
      </c>
      <c r="I383" s="24">
        <f t="shared" si="17"/>
        <v>2860000</v>
      </c>
    </row>
    <row r="384" spans="4:9" ht="12.75">
      <c r="D384" s="5" t="s">
        <v>922</v>
      </c>
      <c r="E384" s="55" t="s">
        <v>201</v>
      </c>
      <c r="F384" s="55"/>
      <c r="H384" s="24">
        <v>108834</v>
      </c>
      <c r="I384" s="24">
        <f t="shared" si="17"/>
        <v>108834</v>
      </c>
    </row>
    <row r="385" spans="4:9" ht="12.75">
      <c r="D385" s="5" t="s">
        <v>913</v>
      </c>
      <c r="E385" s="55" t="s">
        <v>881</v>
      </c>
      <c r="F385" s="55"/>
      <c r="G385" s="24">
        <v>3575000</v>
      </c>
      <c r="H385" s="24">
        <v>0</v>
      </c>
      <c r="I385" s="24">
        <f t="shared" si="17"/>
        <v>3575000</v>
      </c>
    </row>
    <row r="386" spans="4:9" ht="12.75">
      <c r="D386" s="5" t="s">
        <v>915</v>
      </c>
      <c r="E386" s="55" t="s">
        <v>879</v>
      </c>
      <c r="F386" s="55"/>
      <c r="G386" s="24">
        <v>150000</v>
      </c>
      <c r="H386" s="24">
        <v>119193.48</v>
      </c>
      <c r="I386" s="24">
        <f t="shared" si="17"/>
        <v>269193.48</v>
      </c>
    </row>
    <row r="387" spans="4:9" ht="12.75">
      <c r="D387" s="5" t="s">
        <v>916</v>
      </c>
      <c r="E387" s="55" t="s">
        <v>882</v>
      </c>
      <c r="F387" s="55"/>
      <c r="G387" s="24">
        <v>215000</v>
      </c>
      <c r="H387" s="24">
        <v>0</v>
      </c>
      <c r="I387" s="24">
        <f t="shared" si="17"/>
        <v>215000</v>
      </c>
    </row>
    <row r="388" spans="4:9" ht="12.75">
      <c r="D388" s="5" t="s">
        <v>924</v>
      </c>
      <c r="E388" s="55" t="s">
        <v>203</v>
      </c>
      <c r="F388" s="55"/>
      <c r="G388" s="24">
        <v>15000</v>
      </c>
      <c r="H388" s="24">
        <v>0</v>
      </c>
      <c r="I388" s="24">
        <f t="shared" si="17"/>
        <v>15000</v>
      </c>
    </row>
    <row r="389" spans="4:9" ht="12.75">
      <c r="D389" s="5" t="s">
        <v>925</v>
      </c>
      <c r="E389" s="55" t="s">
        <v>884</v>
      </c>
      <c r="F389" s="55"/>
      <c r="G389" s="24">
        <v>207000</v>
      </c>
      <c r="H389" s="24">
        <v>0</v>
      </c>
      <c r="I389" s="24">
        <f t="shared" si="17"/>
        <v>207000</v>
      </c>
    </row>
    <row r="390" spans="4:9" ht="12.75">
      <c r="D390" s="5" t="s">
        <v>754</v>
      </c>
      <c r="E390" s="55" t="s">
        <v>212</v>
      </c>
      <c r="F390" s="55"/>
      <c r="G390" s="24">
        <v>17000</v>
      </c>
      <c r="H390" s="24">
        <v>0</v>
      </c>
      <c r="I390" s="24">
        <f t="shared" si="17"/>
        <v>17000</v>
      </c>
    </row>
    <row r="391" spans="4:9" ht="13.5" thickBot="1">
      <c r="D391" s="5" t="s">
        <v>927</v>
      </c>
      <c r="E391" s="55" t="s">
        <v>886</v>
      </c>
      <c r="F391" s="55"/>
      <c r="G391" s="24">
        <v>1000000</v>
      </c>
      <c r="H391" s="24">
        <v>0</v>
      </c>
      <c r="I391" s="24">
        <f t="shared" si="17"/>
        <v>1000000</v>
      </c>
    </row>
    <row r="392" spans="5:9" ht="12.75">
      <c r="E392" s="58" t="s">
        <v>716</v>
      </c>
      <c r="F392" s="58"/>
      <c r="G392" s="25"/>
      <c r="H392" s="25"/>
      <c r="I392" s="25"/>
    </row>
    <row r="393" spans="4:9" ht="12.75">
      <c r="D393" s="5" t="s">
        <v>772</v>
      </c>
      <c r="E393" s="55" t="s">
        <v>773</v>
      </c>
      <c r="F393" s="55"/>
      <c r="G393" s="24">
        <f>SUM(G379:G392)</f>
        <v>52330000</v>
      </c>
      <c r="I393" s="24">
        <f>G393+H393</f>
        <v>52330000</v>
      </c>
    </row>
    <row r="394" spans="4:9" ht="12.75">
      <c r="D394" s="5" t="s">
        <v>784</v>
      </c>
      <c r="E394" s="55" t="s">
        <v>785</v>
      </c>
      <c r="F394" s="55"/>
      <c r="H394" s="24">
        <v>11101834</v>
      </c>
      <c r="I394" s="24">
        <f>G394+H394</f>
        <v>11101834</v>
      </c>
    </row>
    <row r="395" spans="4:9" ht="13.5" thickBot="1">
      <c r="D395" s="5" t="s">
        <v>825</v>
      </c>
      <c r="E395" s="55" t="s">
        <v>905</v>
      </c>
      <c r="F395" s="55"/>
      <c r="G395" s="24">
        <v>0</v>
      </c>
      <c r="H395" s="24">
        <v>309193.48</v>
      </c>
      <c r="I395" s="24">
        <f>G395+H395</f>
        <v>309193.48</v>
      </c>
    </row>
    <row r="396" spans="5:9" ht="13.5" thickBot="1">
      <c r="E396" s="56" t="s">
        <v>717</v>
      </c>
      <c r="F396" s="56"/>
      <c r="G396" s="26">
        <f>SUM(G393:G394)</f>
        <v>52330000</v>
      </c>
      <c r="H396" s="26">
        <f>+H395+H394</f>
        <v>11411027.48</v>
      </c>
      <c r="I396" s="26">
        <f>G396+H396</f>
        <v>63741027.480000004</v>
      </c>
    </row>
    <row r="397" spans="5:9" ht="12.75">
      <c r="E397" s="58" t="s">
        <v>722</v>
      </c>
      <c r="F397" s="58"/>
      <c r="G397" s="25"/>
      <c r="H397" s="25"/>
      <c r="I397" s="25"/>
    </row>
    <row r="398" spans="4:9" ht="12.75">
      <c r="D398" s="5" t="s">
        <v>772</v>
      </c>
      <c r="E398" s="55" t="s">
        <v>773</v>
      </c>
      <c r="F398" s="55"/>
      <c r="G398" s="24">
        <f>+G393</f>
        <v>52330000</v>
      </c>
      <c r="H398" s="24">
        <v>0</v>
      </c>
      <c r="I398" s="24">
        <f>G398+H398</f>
        <v>52330000</v>
      </c>
    </row>
    <row r="399" spans="4:9" ht="12.75">
      <c r="D399" s="5" t="s">
        <v>784</v>
      </c>
      <c r="E399" s="55" t="s">
        <v>785</v>
      </c>
      <c r="F399" s="55"/>
      <c r="G399" s="24">
        <v>0</v>
      </c>
      <c r="H399" s="24">
        <f>+H394</f>
        <v>11101834</v>
      </c>
      <c r="I399" s="24">
        <f>G399+H399</f>
        <v>11101834</v>
      </c>
    </row>
    <row r="400" spans="4:9" ht="13.5" thickBot="1">
      <c r="D400" s="5" t="s">
        <v>825</v>
      </c>
      <c r="E400" s="55" t="s">
        <v>905</v>
      </c>
      <c r="F400" s="55"/>
      <c r="G400" s="24">
        <v>0</v>
      </c>
      <c r="H400" s="24">
        <f>+H395</f>
        <v>309193.48</v>
      </c>
      <c r="I400" s="24">
        <f>G400+H400</f>
        <v>309193.48</v>
      </c>
    </row>
    <row r="401" spans="5:9" ht="13.5" thickBot="1">
      <c r="E401" s="56" t="s">
        <v>723</v>
      </c>
      <c r="F401" s="56"/>
      <c r="G401" s="26">
        <f>SUM(G398:G399)</f>
        <v>52330000</v>
      </c>
      <c r="H401" s="26">
        <f>+H400+H399</f>
        <v>11411027.48</v>
      </c>
      <c r="I401" s="26">
        <f>G401+H401</f>
        <v>63741027.480000004</v>
      </c>
    </row>
    <row r="402" ht="7.5" customHeight="1"/>
    <row r="403" spans="1:6" ht="12.75">
      <c r="A403" s="8" t="s">
        <v>766</v>
      </c>
      <c r="B403" s="9" t="s">
        <v>434</v>
      </c>
      <c r="C403" s="8"/>
      <c r="D403" s="9"/>
      <c r="E403" s="57" t="s">
        <v>435</v>
      </c>
      <c r="F403" s="57"/>
    </row>
    <row r="404" spans="1:6" ht="12.75">
      <c r="A404" s="8"/>
      <c r="B404" s="9"/>
      <c r="C404" s="8" t="s">
        <v>782</v>
      </c>
      <c r="D404" s="9"/>
      <c r="E404" s="57" t="s">
        <v>783</v>
      </c>
      <c r="F404" s="57"/>
    </row>
    <row r="405" spans="4:9" ht="12.75">
      <c r="D405" s="5" t="s">
        <v>911</v>
      </c>
      <c r="E405" s="55" t="s">
        <v>199</v>
      </c>
      <c r="F405" s="55"/>
      <c r="G405" s="24">
        <v>56090000</v>
      </c>
      <c r="H405" s="24">
        <v>5204616.74</v>
      </c>
      <c r="I405" s="24">
        <f aca="true" t="shared" si="18" ref="I405:I416">G405+H405</f>
        <v>61294616.74</v>
      </c>
    </row>
    <row r="406" spans="4:9" ht="12.75">
      <c r="D406" s="5" t="s">
        <v>912</v>
      </c>
      <c r="E406" s="55" t="s">
        <v>877</v>
      </c>
      <c r="F406" s="55"/>
      <c r="G406" s="24">
        <v>9311000</v>
      </c>
      <c r="H406" s="24">
        <v>700000</v>
      </c>
      <c r="I406" s="24">
        <f t="shared" si="18"/>
        <v>10011000</v>
      </c>
    </row>
    <row r="407" spans="4:9" ht="12.75">
      <c r="D407" s="5" t="s">
        <v>918</v>
      </c>
      <c r="E407" s="55" t="s">
        <v>878</v>
      </c>
      <c r="F407" s="55"/>
      <c r="G407" s="24">
        <v>80000</v>
      </c>
      <c r="H407" s="24">
        <v>0</v>
      </c>
      <c r="I407" s="24">
        <f t="shared" si="18"/>
        <v>80000</v>
      </c>
    </row>
    <row r="408" spans="4:9" ht="12.75">
      <c r="D408" s="5" t="s">
        <v>921</v>
      </c>
      <c r="E408" s="55" t="s">
        <v>880</v>
      </c>
      <c r="F408" s="55"/>
      <c r="G408" s="24">
        <v>173000</v>
      </c>
      <c r="H408" s="24">
        <v>0</v>
      </c>
      <c r="I408" s="24">
        <f t="shared" si="18"/>
        <v>173000</v>
      </c>
    </row>
    <row r="409" spans="4:9" ht="12.75">
      <c r="D409" s="5" t="s">
        <v>919</v>
      </c>
      <c r="E409" s="55" t="s">
        <v>200</v>
      </c>
      <c r="F409" s="55"/>
      <c r="G409" s="24">
        <v>2000000</v>
      </c>
      <c r="H409" s="24">
        <v>0</v>
      </c>
      <c r="I409" s="24">
        <f t="shared" si="18"/>
        <v>2000000</v>
      </c>
    </row>
    <row r="410" spans="4:9" ht="12.75">
      <c r="D410" s="5" t="s">
        <v>913</v>
      </c>
      <c r="E410" s="55" t="s">
        <v>881</v>
      </c>
      <c r="F410" s="55"/>
      <c r="G410" s="24">
        <v>800000</v>
      </c>
      <c r="H410" s="24">
        <v>0</v>
      </c>
      <c r="I410" s="24">
        <f t="shared" si="18"/>
        <v>800000</v>
      </c>
    </row>
    <row r="411" spans="4:9" ht="12.75">
      <c r="D411" s="5" t="s">
        <v>915</v>
      </c>
      <c r="E411" s="55" t="s">
        <v>879</v>
      </c>
      <c r="F411" s="55"/>
      <c r="G411" s="24">
        <v>1320000</v>
      </c>
      <c r="H411" s="24">
        <v>600000</v>
      </c>
      <c r="I411" s="24">
        <f t="shared" si="18"/>
        <v>1920000</v>
      </c>
    </row>
    <row r="412" spans="4:9" ht="12.75">
      <c r="D412" s="5" t="s">
        <v>916</v>
      </c>
      <c r="E412" s="55" t="s">
        <v>882</v>
      </c>
      <c r="F412" s="55"/>
      <c r="G412" s="24">
        <v>500000</v>
      </c>
      <c r="H412" s="24">
        <v>0</v>
      </c>
      <c r="I412" s="24">
        <f t="shared" si="18"/>
        <v>500000</v>
      </c>
    </row>
    <row r="413" spans="4:9" ht="12.75">
      <c r="D413" s="5" t="s">
        <v>924</v>
      </c>
      <c r="E413" s="55" t="s">
        <v>203</v>
      </c>
      <c r="F413" s="55"/>
      <c r="G413" s="24">
        <v>407000</v>
      </c>
      <c r="H413" s="24">
        <v>0</v>
      </c>
      <c r="I413" s="24">
        <f t="shared" si="18"/>
        <v>407000</v>
      </c>
    </row>
    <row r="414" spans="4:9" ht="12.75">
      <c r="D414" s="5" t="s">
        <v>925</v>
      </c>
      <c r="E414" s="55" t="s">
        <v>884</v>
      </c>
      <c r="F414" s="55"/>
      <c r="G414" s="24">
        <v>407000</v>
      </c>
      <c r="H414" s="24">
        <v>0</v>
      </c>
      <c r="I414" s="24">
        <f t="shared" si="18"/>
        <v>407000</v>
      </c>
    </row>
    <row r="415" spans="4:9" ht="12.75">
      <c r="D415" s="5" t="s">
        <v>754</v>
      </c>
      <c r="E415" s="55" t="s">
        <v>212</v>
      </c>
      <c r="F415" s="55"/>
      <c r="G415" s="24">
        <v>320000</v>
      </c>
      <c r="H415" s="24">
        <v>0</v>
      </c>
      <c r="I415" s="24">
        <f t="shared" si="18"/>
        <v>320000</v>
      </c>
    </row>
    <row r="416" spans="4:9" ht="13.5" thickBot="1">
      <c r="D416" s="5" t="s">
        <v>927</v>
      </c>
      <c r="E416" s="55" t="s">
        <v>886</v>
      </c>
      <c r="F416" s="55"/>
      <c r="G416" s="24">
        <v>230000</v>
      </c>
      <c r="H416" s="24">
        <v>0</v>
      </c>
      <c r="I416" s="24">
        <f t="shared" si="18"/>
        <v>230000</v>
      </c>
    </row>
    <row r="417" spans="5:9" ht="12.75">
      <c r="E417" s="58" t="s">
        <v>716</v>
      </c>
      <c r="F417" s="58"/>
      <c r="G417" s="25"/>
      <c r="H417" s="25"/>
      <c r="I417" s="25"/>
    </row>
    <row r="418" spans="4:9" ht="12.75">
      <c r="D418" s="5" t="s">
        <v>772</v>
      </c>
      <c r="E418" s="55" t="s">
        <v>773</v>
      </c>
      <c r="F418" s="55"/>
      <c r="G418" s="24">
        <f>SUM(G405:G417)</f>
        <v>71638000</v>
      </c>
      <c r="I418" s="24">
        <f>G418+H418</f>
        <v>71638000</v>
      </c>
    </row>
    <row r="419" spans="4:9" ht="12.75">
      <c r="D419" s="5" t="s">
        <v>784</v>
      </c>
      <c r="E419" s="55" t="s">
        <v>785</v>
      </c>
      <c r="F419" s="55"/>
      <c r="H419" s="24">
        <v>2000000</v>
      </c>
      <c r="I419" s="24">
        <f>G419+H419</f>
        <v>2000000</v>
      </c>
    </row>
    <row r="420" spans="4:9" ht="13.5" thickBot="1">
      <c r="D420" s="5" t="s">
        <v>825</v>
      </c>
      <c r="E420" s="55" t="s">
        <v>905</v>
      </c>
      <c r="F420" s="55"/>
      <c r="H420" s="24">
        <v>4504616.74</v>
      </c>
      <c r="I420" s="24">
        <f>G420+H420</f>
        <v>4504616.74</v>
      </c>
    </row>
    <row r="421" spans="5:9" ht="13.5" thickBot="1">
      <c r="E421" s="56" t="s">
        <v>717</v>
      </c>
      <c r="F421" s="56"/>
      <c r="G421" s="26">
        <f>SUM(G418:G420)</f>
        <v>71638000</v>
      </c>
      <c r="H421" s="26">
        <f>SUM(H418:H420)</f>
        <v>6504616.74</v>
      </c>
      <c r="I421" s="26">
        <f>G421+H421</f>
        <v>78142616.74</v>
      </c>
    </row>
    <row r="422" spans="5:9" ht="12.75">
      <c r="E422" s="58" t="s">
        <v>724</v>
      </c>
      <c r="F422" s="58"/>
      <c r="G422" s="25"/>
      <c r="H422" s="25"/>
      <c r="I422" s="25"/>
    </row>
    <row r="423" spans="4:9" ht="12.75">
      <c r="D423" s="5" t="s">
        <v>772</v>
      </c>
      <c r="E423" s="55" t="s">
        <v>773</v>
      </c>
      <c r="F423" s="55"/>
      <c r="G423" s="24">
        <f>+G418</f>
        <v>71638000</v>
      </c>
      <c r="H423" s="24">
        <v>0</v>
      </c>
      <c r="I423" s="24">
        <f>G423+H423</f>
        <v>71638000</v>
      </c>
    </row>
    <row r="424" spans="4:9" ht="12.75">
      <c r="D424" s="5" t="s">
        <v>784</v>
      </c>
      <c r="E424" s="55" t="s">
        <v>785</v>
      </c>
      <c r="F424" s="55"/>
      <c r="G424" s="24">
        <v>0</v>
      </c>
      <c r="H424" s="24">
        <f>+H419</f>
        <v>2000000</v>
      </c>
      <c r="I424" s="24">
        <f>G424+H424</f>
        <v>2000000</v>
      </c>
    </row>
    <row r="425" spans="4:9" ht="13.5" thickBot="1">
      <c r="D425" s="5" t="s">
        <v>825</v>
      </c>
      <c r="E425" s="55" t="s">
        <v>905</v>
      </c>
      <c r="F425" s="55"/>
      <c r="G425" s="24">
        <v>0</v>
      </c>
      <c r="H425" s="24">
        <f>+H420</f>
        <v>4504616.74</v>
      </c>
      <c r="I425" s="24">
        <f>G425+H425</f>
        <v>4504616.74</v>
      </c>
    </row>
    <row r="426" spans="5:9" ht="13.5" thickBot="1">
      <c r="E426" s="56" t="s">
        <v>725</v>
      </c>
      <c r="F426" s="56"/>
      <c r="G426" s="26">
        <f>SUM(G423:G425)</f>
        <v>71638000</v>
      </c>
      <c r="H426" s="26">
        <f>SUM(H423:H425)</f>
        <v>6504616.74</v>
      </c>
      <c r="I426" s="26">
        <f>G426+H426</f>
        <v>78142616.74</v>
      </c>
    </row>
    <row r="428" spans="1:6" ht="12.75">
      <c r="A428" s="8" t="s">
        <v>766</v>
      </c>
      <c r="B428" s="9" t="s">
        <v>436</v>
      </c>
      <c r="C428" s="8"/>
      <c r="D428" s="9"/>
      <c r="E428" s="57" t="s">
        <v>437</v>
      </c>
      <c r="F428" s="57"/>
    </row>
    <row r="429" spans="1:6" ht="12.75">
      <c r="A429" s="8"/>
      <c r="B429" s="9"/>
      <c r="C429" s="8" t="s">
        <v>782</v>
      </c>
      <c r="D429" s="9"/>
      <c r="E429" s="57" t="s">
        <v>783</v>
      </c>
      <c r="F429" s="57"/>
    </row>
    <row r="430" spans="4:9" ht="12.75">
      <c r="D430" s="5" t="s">
        <v>911</v>
      </c>
      <c r="E430" s="55" t="s">
        <v>199</v>
      </c>
      <c r="F430" s="55"/>
      <c r="G430" s="24">
        <v>22062000</v>
      </c>
      <c r="H430" s="24">
        <v>2750000</v>
      </c>
      <c r="I430" s="24">
        <f aca="true" t="shared" si="19" ref="I430:I440">G430+H430</f>
        <v>24812000</v>
      </c>
    </row>
    <row r="431" spans="4:9" ht="12.75">
      <c r="D431" s="5" t="s">
        <v>912</v>
      </c>
      <c r="E431" s="55" t="s">
        <v>877</v>
      </c>
      <c r="F431" s="55"/>
      <c r="G431" s="24">
        <v>4182000</v>
      </c>
      <c r="H431" s="24">
        <v>250000</v>
      </c>
      <c r="I431" s="24">
        <f t="shared" si="19"/>
        <v>4432000</v>
      </c>
    </row>
    <row r="432" spans="4:9" ht="12.75">
      <c r="D432" s="5" t="s">
        <v>918</v>
      </c>
      <c r="E432" s="55" t="s">
        <v>878</v>
      </c>
      <c r="F432" s="55"/>
      <c r="G432" s="24">
        <v>38000</v>
      </c>
      <c r="H432" s="24">
        <v>0</v>
      </c>
      <c r="I432" s="24">
        <f t="shared" si="19"/>
        <v>38000</v>
      </c>
    </row>
    <row r="433" spans="4:9" ht="12.75">
      <c r="D433" s="5" t="s">
        <v>919</v>
      </c>
      <c r="E433" s="55" t="s">
        <v>200</v>
      </c>
      <c r="F433" s="55"/>
      <c r="G433" s="24">
        <f>175000+23000</f>
        <v>198000</v>
      </c>
      <c r="H433" s="24">
        <v>50000</v>
      </c>
      <c r="I433" s="24">
        <f t="shared" si="19"/>
        <v>248000</v>
      </c>
    </row>
    <row r="434" spans="4:9" ht="12.75">
      <c r="D434" s="5" t="s">
        <v>913</v>
      </c>
      <c r="E434" s="55" t="s">
        <v>881</v>
      </c>
      <c r="F434" s="55"/>
      <c r="G434" s="24">
        <v>600000</v>
      </c>
      <c r="H434" s="24">
        <v>100000</v>
      </c>
      <c r="I434" s="24">
        <f t="shared" si="19"/>
        <v>700000</v>
      </c>
    </row>
    <row r="435" spans="4:9" ht="12.75">
      <c r="D435" s="5" t="s">
        <v>915</v>
      </c>
      <c r="E435" s="55" t="s">
        <v>879</v>
      </c>
      <c r="F435" s="55"/>
      <c r="G435" s="24">
        <v>1200000</v>
      </c>
      <c r="H435" s="24">
        <v>0</v>
      </c>
      <c r="I435" s="24">
        <f t="shared" si="19"/>
        <v>1200000</v>
      </c>
    </row>
    <row r="436" spans="4:9" ht="12.75">
      <c r="D436" s="5" t="s">
        <v>916</v>
      </c>
      <c r="E436" s="55" t="s">
        <v>882</v>
      </c>
      <c r="F436" s="55"/>
      <c r="G436" s="24">
        <v>750000</v>
      </c>
      <c r="H436" s="24">
        <v>50000</v>
      </c>
      <c r="I436" s="24">
        <f t="shared" si="19"/>
        <v>800000</v>
      </c>
    </row>
    <row r="437" spans="4:9" ht="12.75">
      <c r="D437" s="5" t="s">
        <v>924</v>
      </c>
      <c r="E437" s="55" t="s">
        <v>203</v>
      </c>
      <c r="F437" s="55"/>
      <c r="G437" s="24">
        <v>300000</v>
      </c>
      <c r="H437" s="24">
        <v>0</v>
      </c>
      <c r="I437" s="24">
        <f t="shared" si="19"/>
        <v>300000</v>
      </c>
    </row>
    <row r="438" spans="4:9" ht="12.75">
      <c r="D438" s="5" t="s">
        <v>925</v>
      </c>
      <c r="E438" s="55" t="s">
        <v>884</v>
      </c>
      <c r="F438" s="55"/>
      <c r="G438" s="24">
        <v>475000</v>
      </c>
      <c r="H438" s="24">
        <v>0</v>
      </c>
      <c r="I438" s="24">
        <f t="shared" si="19"/>
        <v>475000</v>
      </c>
    </row>
    <row r="439" spans="4:9" ht="12.75">
      <c r="D439" s="5" t="s">
        <v>754</v>
      </c>
      <c r="E439" s="55" t="s">
        <v>212</v>
      </c>
      <c r="F439" s="55"/>
      <c r="G439" s="24">
        <v>110000</v>
      </c>
      <c r="H439" s="24">
        <v>0</v>
      </c>
      <c r="I439" s="24">
        <f t="shared" si="19"/>
        <v>110000</v>
      </c>
    </row>
    <row r="440" spans="4:9" ht="13.5" thickBot="1">
      <c r="D440" s="5" t="s">
        <v>927</v>
      </c>
      <c r="E440" s="55" t="s">
        <v>886</v>
      </c>
      <c r="F440" s="55"/>
      <c r="G440" s="24">
        <v>172000</v>
      </c>
      <c r="H440" s="24">
        <v>111597</v>
      </c>
      <c r="I440" s="24">
        <f t="shared" si="19"/>
        <v>283597</v>
      </c>
    </row>
    <row r="441" spans="5:9" ht="12.75">
      <c r="E441" s="58" t="s">
        <v>716</v>
      </c>
      <c r="F441" s="58"/>
      <c r="G441" s="25"/>
      <c r="H441" s="25"/>
      <c r="I441" s="25"/>
    </row>
    <row r="442" spans="4:9" ht="12.75">
      <c r="D442" s="5" t="s">
        <v>772</v>
      </c>
      <c r="E442" s="55" t="s">
        <v>773</v>
      </c>
      <c r="F442" s="55"/>
      <c r="G442" s="24">
        <f>SUM(G430:G441)</f>
        <v>30087000</v>
      </c>
      <c r="I442" s="24">
        <f>G442+H442</f>
        <v>30087000</v>
      </c>
    </row>
    <row r="443" spans="4:9" ht="13.5" thickBot="1">
      <c r="D443" s="5" t="s">
        <v>825</v>
      </c>
      <c r="E443" s="55" t="s">
        <v>905</v>
      </c>
      <c r="F443" s="55"/>
      <c r="G443" s="24">
        <v>0</v>
      </c>
      <c r="H443" s="34">
        <f>SUM(H430:H440)</f>
        <v>3311597</v>
      </c>
      <c r="I443" s="24">
        <f>G443+H443</f>
        <v>3311597</v>
      </c>
    </row>
    <row r="444" spans="5:9" ht="13.5" thickBot="1">
      <c r="E444" s="56" t="s">
        <v>717</v>
      </c>
      <c r="F444" s="56"/>
      <c r="G444" s="26">
        <f>SUM(G442:G442)</f>
        <v>30087000</v>
      </c>
      <c r="H444" s="28">
        <f>+H443</f>
        <v>3311597</v>
      </c>
      <c r="I444" s="26">
        <f>G444+H444</f>
        <v>33398597</v>
      </c>
    </row>
    <row r="445" spans="5:9" ht="12.75">
      <c r="E445" s="58" t="s">
        <v>726</v>
      </c>
      <c r="F445" s="58"/>
      <c r="G445" s="25"/>
      <c r="H445" s="25"/>
      <c r="I445" s="25"/>
    </row>
    <row r="446" spans="4:9" ht="12.75">
      <c r="D446" s="5" t="s">
        <v>772</v>
      </c>
      <c r="E446" s="55" t="s">
        <v>773</v>
      </c>
      <c r="F446" s="55"/>
      <c r="G446" s="24">
        <f>+G442</f>
        <v>30087000</v>
      </c>
      <c r="H446" s="24">
        <v>0</v>
      </c>
      <c r="I446" s="24">
        <f>G446+H446</f>
        <v>30087000</v>
      </c>
    </row>
    <row r="447" spans="4:9" ht="13.5" thickBot="1">
      <c r="D447" s="5" t="s">
        <v>825</v>
      </c>
      <c r="E447" s="55" t="s">
        <v>905</v>
      </c>
      <c r="F447" s="55"/>
      <c r="G447" s="24">
        <v>0</v>
      </c>
      <c r="H447" s="27">
        <f>+H443</f>
        <v>3311597</v>
      </c>
      <c r="I447" s="24">
        <f>G447+H447</f>
        <v>3311597</v>
      </c>
    </row>
    <row r="448" spans="5:9" ht="13.5" thickBot="1">
      <c r="E448" s="56" t="s">
        <v>727</v>
      </c>
      <c r="F448" s="56"/>
      <c r="G448" s="26">
        <f>SUM(G446:G446)</f>
        <v>30087000</v>
      </c>
      <c r="H448" s="28">
        <f>+H444</f>
        <v>3311597</v>
      </c>
      <c r="I448" s="26">
        <f>G448+H448</f>
        <v>33398597</v>
      </c>
    </row>
    <row r="450" spans="1:6" ht="12.75">
      <c r="A450" s="8" t="s">
        <v>766</v>
      </c>
      <c r="B450" s="9" t="s">
        <v>438</v>
      </c>
      <c r="C450" s="8"/>
      <c r="D450" s="9"/>
      <c r="E450" s="57" t="s">
        <v>439</v>
      </c>
      <c r="F450" s="57"/>
    </row>
    <row r="451" spans="1:6" ht="12.75">
      <c r="A451" s="8"/>
      <c r="B451" s="9"/>
      <c r="C451" s="8" t="s">
        <v>782</v>
      </c>
      <c r="D451" s="9"/>
      <c r="E451" s="57" t="s">
        <v>783</v>
      </c>
      <c r="F451" s="57"/>
    </row>
    <row r="452" spans="4:9" ht="12.75">
      <c r="D452" s="5" t="s">
        <v>911</v>
      </c>
      <c r="E452" s="55" t="s">
        <v>199</v>
      </c>
      <c r="F452" s="55"/>
      <c r="G452" s="24">
        <v>55342000</v>
      </c>
      <c r="H452" s="24">
        <v>0</v>
      </c>
      <c r="I452" s="24">
        <f aca="true" t="shared" si="20" ref="I452:I462">G452+H452</f>
        <v>55342000</v>
      </c>
    </row>
    <row r="453" spans="4:9" ht="12.75">
      <c r="D453" s="5" t="s">
        <v>912</v>
      </c>
      <c r="E453" s="55" t="s">
        <v>877</v>
      </c>
      <c r="F453" s="55"/>
      <c r="G453" s="24">
        <v>9907000</v>
      </c>
      <c r="H453" s="24">
        <v>0</v>
      </c>
      <c r="I453" s="24">
        <f t="shared" si="20"/>
        <v>9907000</v>
      </c>
    </row>
    <row r="454" spans="4:9" ht="12.75">
      <c r="D454" s="5" t="s">
        <v>921</v>
      </c>
      <c r="E454" s="55" t="s">
        <v>880</v>
      </c>
      <c r="F454" s="55"/>
      <c r="G454" s="24">
        <v>30000</v>
      </c>
      <c r="H454" s="24">
        <v>0</v>
      </c>
      <c r="I454" s="24">
        <f t="shared" si="20"/>
        <v>30000</v>
      </c>
    </row>
    <row r="455" spans="4:9" ht="12.75">
      <c r="D455" s="5" t="s">
        <v>919</v>
      </c>
      <c r="E455" s="55" t="s">
        <v>200</v>
      </c>
      <c r="F455" s="55"/>
      <c r="G455" s="24">
        <v>1200000</v>
      </c>
      <c r="H455" s="24">
        <v>0</v>
      </c>
      <c r="I455" s="24">
        <f t="shared" si="20"/>
        <v>1200000</v>
      </c>
    </row>
    <row r="456" spans="4:9" ht="12.75">
      <c r="D456" s="5" t="s">
        <v>922</v>
      </c>
      <c r="E456" s="55" t="s">
        <v>201</v>
      </c>
      <c r="F456" s="55"/>
      <c r="H456" s="24">
        <v>36278</v>
      </c>
      <c r="I456" s="24">
        <f t="shared" si="20"/>
        <v>36278</v>
      </c>
    </row>
    <row r="457" spans="4:9" ht="12.75">
      <c r="D457" s="5" t="s">
        <v>913</v>
      </c>
      <c r="E457" s="55" t="s">
        <v>881</v>
      </c>
      <c r="F457" s="55"/>
      <c r="G457" s="24">
        <v>2000000</v>
      </c>
      <c r="H457" s="24">
        <v>1600000</v>
      </c>
      <c r="I457" s="24">
        <f t="shared" si="20"/>
        <v>3600000</v>
      </c>
    </row>
    <row r="458" spans="4:9" ht="12.75">
      <c r="D458" s="5" t="s">
        <v>915</v>
      </c>
      <c r="E458" s="55" t="s">
        <v>879</v>
      </c>
      <c r="F458" s="55"/>
      <c r="G458" s="24">
        <v>180000</v>
      </c>
      <c r="H458" s="24">
        <v>0</v>
      </c>
      <c r="I458" s="24">
        <f t="shared" si="20"/>
        <v>180000</v>
      </c>
    </row>
    <row r="459" spans="4:9" ht="12.75">
      <c r="D459" s="5" t="s">
        <v>916</v>
      </c>
      <c r="E459" s="55" t="s">
        <v>882</v>
      </c>
      <c r="F459" s="55"/>
      <c r="G459" s="24">
        <v>8875000</v>
      </c>
      <c r="H459" s="24">
        <v>0</v>
      </c>
      <c r="I459" s="24">
        <f t="shared" si="20"/>
        <v>8875000</v>
      </c>
    </row>
    <row r="460" spans="4:9" ht="12.75">
      <c r="D460" s="5" t="s">
        <v>924</v>
      </c>
      <c r="E460" s="55" t="s">
        <v>203</v>
      </c>
      <c r="F460" s="55"/>
      <c r="G460" s="24">
        <v>143000</v>
      </c>
      <c r="H460" s="24">
        <v>1595425.25</v>
      </c>
      <c r="I460" s="24">
        <f t="shared" si="20"/>
        <v>1738425.25</v>
      </c>
    </row>
    <row r="461" spans="4:9" ht="12.75">
      <c r="D461" s="5" t="s">
        <v>925</v>
      </c>
      <c r="E461" s="55" t="s">
        <v>884</v>
      </c>
      <c r="F461" s="55"/>
      <c r="G461" s="24">
        <v>560000</v>
      </c>
      <c r="H461" s="24">
        <v>1200000</v>
      </c>
      <c r="I461" s="24">
        <f t="shared" si="20"/>
        <v>1760000</v>
      </c>
    </row>
    <row r="462" spans="4:9" ht="13.5" thickBot="1">
      <c r="D462" s="5" t="s">
        <v>927</v>
      </c>
      <c r="E462" s="55" t="s">
        <v>886</v>
      </c>
      <c r="F462" s="55"/>
      <c r="G462" s="24">
        <v>300000</v>
      </c>
      <c r="H462" s="24">
        <v>0</v>
      </c>
      <c r="I462" s="24">
        <f t="shared" si="20"/>
        <v>300000</v>
      </c>
    </row>
    <row r="463" spans="5:9" ht="12.75">
      <c r="E463" s="58" t="s">
        <v>716</v>
      </c>
      <c r="F463" s="58"/>
      <c r="G463" s="25"/>
      <c r="H463" s="25"/>
      <c r="I463" s="25"/>
    </row>
    <row r="464" spans="4:9" ht="12.75">
      <c r="D464" s="5" t="s">
        <v>772</v>
      </c>
      <c r="E464" s="55" t="s">
        <v>773</v>
      </c>
      <c r="F464" s="55"/>
      <c r="G464" s="24">
        <f>SUM(G452:G463)</f>
        <v>78537000</v>
      </c>
      <c r="I464" s="24">
        <f>G464+H464</f>
        <v>78537000</v>
      </c>
    </row>
    <row r="465" spans="4:9" ht="12.75">
      <c r="D465" s="5" t="s">
        <v>784</v>
      </c>
      <c r="E465" s="55" t="s">
        <v>785</v>
      </c>
      <c r="F465" s="55"/>
      <c r="H465" s="24">
        <v>2234278</v>
      </c>
      <c r="I465" s="24">
        <f>G465+H465</f>
        <v>2234278</v>
      </c>
    </row>
    <row r="466" spans="4:9" ht="13.5" thickBot="1">
      <c r="D466" s="5" t="s">
        <v>825</v>
      </c>
      <c r="E466" s="55" t="s">
        <v>905</v>
      </c>
      <c r="F466" s="55"/>
      <c r="H466" s="24">
        <v>2197425.25</v>
      </c>
      <c r="I466" s="24">
        <f>G466+H466</f>
        <v>2197425.25</v>
      </c>
    </row>
    <row r="467" spans="5:9" ht="13.5" thickBot="1">
      <c r="E467" s="56" t="s">
        <v>717</v>
      </c>
      <c r="F467" s="56"/>
      <c r="G467" s="26">
        <f>SUM(G464:G466)</f>
        <v>78537000</v>
      </c>
      <c r="H467" s="26">
        <f>SUM(H464:H466)</f>
        <v>4431703.25</v>
      </c>
      <c r="I467" s="26">
        <f>G467+H467</f>
        <v>82968703.25</v>
      </c>
    </row>
    <row r="468" spans="5:9" ht="12.75">
      <c r="E468" s="58" t="s">
        <v>728</v>
      </c>
      <c r="F468" s="58"/>
      <c r="G468" s="25"/>
      <c r="H468" s="25"/>
      <c r="I468" s="25"/>
    </row>
    <row r="469" spans="4:9" ht="12.75">
      <c r="D469" s="5" t="s">
        <v>772</v>
      </c>
      <c r="E469" s="55" t="s">
        <v>773</v>
      </c>
      <c r="F469" s="55"/>
      <c r="G469" s="24">
        <f>+G464</f>
        <v>78537000</v>
      </c>
      <c r="H469" s="24">
        <v>0</v>
      </c>
      <c r="I469" s="24">
        <f>G469+H469</f>
        <v>78537000</v>
      </c>
    </row>
    <row r="470" spans="4:9" ht="12.75">
      <c r="D470" s="5" t="s">
        <v>784</v>
      </c>
      <c r="E470" s="55" t="s">
        <v>785</v>
      </c>
      <c r="F470" s="55"/>
      <c r="G470" s="24">
        <v>0</v>
      </c>
      <c r="H470" s="24">
        <f>+H465</f>
        <v>2234278</v>
      </c>
      <c r="I470" s="24">
        <f>G470+H470</f>
        <v>2234278</v>
      </c>
    </row>
    <row r="471" spans="4:9" ht="13.5" thickBot="1">
      <c r="D471" s="5" t="s">
        <v>825</v>
      </c>
      <c r="E471" s="55" t="s">
        <v>905</v>
      </c>
      <c r="F471" s="55"/>
      <c r="G471" s="24">
        <v>0</v>
      </c>
      <c r="H471" s="24">
        <f>+H466</f>
        <v>2197425.25</v>
      </c>
      <c r="I471" s="24">
        <f>G471+H471</f>
        <v>2197425.25</v>
      </c>
    </row>
    <row r="472" spans="5:9" ht="13.5" thickBot="1">
      <c r="E472" s="56" t="s">
        <v>729</v>
      </c>
      <c r="F472" s="56"/>
      <c r="G472" s="26">
        <f>SUM(G469:G471)</f>
        <v>78537000</v>
      </c>
      <c r="H472" s="26">
        <f>SUM(H469:H471)</f>
        <v>4431703.25</v>
      </c>
      <c r="I472" s="26">
        <f>G472+H472</f>
        <v>82968703.25</v>
      </c>
    </row>
    <row r="474" spans="1:6" ht="12.75">
      <c r="A474" s="8" t="s">
        <v>766</v>
      </c>
      <c r="B474" s="9" t="s">
        <v>440</v>
      </c>
      <c r="C474" s="8"/>
      <c r="D474" s="9"/>
      <c r="E474" s="57" t="s">
        <v>441</v>
      </c>
      <c r="F474" s="57"/>
    </row>
    <row r="475" spans="1:6" ht="12.75">
      <c r="A475" s="8"/>
      <c r="B475" s="9"/>
      <c r="C475" s="8" t="s">
        <v>782</v>
      </c>
      <c r="D475" s="9"/>
      <c r="E475" s="57" t="s">
        <v>783</v>
      </c>
      <c r="F475" s="57"/>
    </row>
    <row r="476" spans="4:9" ht="12.75">
      <c r="D476" s="5" t="s">
        <v>911</v>
      </c>
      <c r="E476" s="55" t="s">
        <v>199</v>
      </c>
      <c r="F476" s="55"/>
      <c r="G476" s="24">
        <v>701082000</v>
      </c>
      <c r="H476" s="24">
        <v>0</v>
      </c>
      <c r="I476" s="24">
        <f aca="true" t="shared" si="21" ref="I476:I486">G476+H476</f>
        <v>701082000</v>
      </c>
    </row>
    <row r="477" spans="4:9" ht="12.75">
      <c r="D477" s="5" t="s">
        <v>912</v>
      </c>
      <c r="E477" s="55" t="s">
        <v>877</v>
      </c>
      <c r="F477" s="55"/>
      <c r="G477" s="24">
        <v>126650000</v>
      </c>
      <c r="H477" s="24">
        <v>0</v>
      </c>
      <c r="I477" s="24">
        <f t="shared" si="21"/>
        <v>126650000</v>
      </c>
    </row>
    <row r="478" spans="4:9" ht="12.75">
      <c r="D478" s="5" t="s">
        <v>918</v>
      </c>
      <c r="E478" s="55" t="s">
        <v>878</v>
      </c>
      <c r="F478" s="55"/>
      <c r="G478" s="24">
        <v>8975000</v>
      </c>
      <c r="H478" s="24">
        <v>0</v>
      </c>
      <c r="I478" s="24">
        <f t="shared" si="21"/>
        <v>8975000</v>
      </c>
    </row>
    <row r="479" spans="4:9" ht="12.75">
      <c r="D479" s="5" t="s">
        <v>921</v>
      </c>
      <c r="E479" s="55" t="s">
        <v>880</v>
      </c>
      <c r="F479" s="55"/>
      <c r="G479" s="24">
        <v>1020000</v>
      </c>
      <c r="H479" s="24">
        <v>0</v>
      </c>
      <c r="I479" s="24">
        <f t="shared" si="21"/>
        <v>1020000</v>
      </c>
    </row>
    <row r="480" spans="4:9" ht="12.75">
      <c r="D480" s="5" t="s">
        <v>919</v>
      </c>
      <c r="E480" s="55" t="s">
        <v>200</v>
      </c>
      <c r="F480" s="55"/>
      <c r="G480" s="24">
        <v>16990000</v>
      </c>
      <c r="H480" s="24">
        <v>0</v>
      </c>
      <c r="I480" s="24">
        <f t="shared" si="21"/>
        <v>16990000</v>
      </c>
    </row>
    <row r="481" spans="4:9" ht="12.75">
      <c r="D481" s="5" t="s">
        <v>913</v>
      </c>
      <c r="E481" s="55" t="s">
        <v>881</v>
      </c>
      <c r="F481" s="55"/>
      <c r="G481" s="24">
        <v>73000000</v>
      </c>
      <c r="H481" s="24">
        <v>0</v>
      </c>
      <c r="I481" s="24">
        <f t="shared" si="21"/>
        <v>73000000</v>
      </c>
    </row>
    <row r="482" spans="4:9" ht="12.75">
      <c r="D482" s="5" t="s">
        <v>915</v>
      </c>
      <c r="E482" s="55" t="s">
        <v>879</v>
      </c>
      <c r="F482" s="55"/>
      <c r="G482" s="24">
        <v>820000</v>
      </c>
      <c r="H482" s="24">
        <v>0</v>
      </c>
      <c r="I482" s="24">
        <f t="shared" si="21"/>
        <v>820000</v>
      </c>
    </row>
    <row r="483" spans="4:9" ht="12.75">
      <c r="D483" s="5" t="s">
        <v>916</v>
      </c>
      <c r="E483" s="55" t="s">
        <v>882</v>
      </c>
      <c r="F483" s="55"/>
      <c r="G483" s="24">
        <v>129000000</v>
      </c>
      <c r="H483" s="24">
        <v>0</v>
      </c>
      <c r="I483" s="24">
        <f t="shared" si="21"/>
        <v>129000000</v>
      </c>
    </row>
    <row r="484" spans="4:9" ht="12.75">
      <c r="D484" s="5" t="s">
        <v>924</v>
      </c>
      <c r="E484" s="55" t="s">
        <v>203</v>
      </c>
      <c r="F484" s="55"/>
      <c r="G484" s="24">
        <v>4000000</v>
      </c>
      <c r="H484" s="24">
        <v>0</v>
      </c>
      <c r="I484" s="24">
        <f t="shared" si="21"/>
        <v>4000000</v>
      </c>
    </row>
    <row r="485" spans="4:9" ht="12.75">
      <c r="D485" s="5" t="s">
        <v>925</v>
      </c>
      <c r="E485" s="55" t="s">
        <v>884</v>
      </c>
      <c r="F485" s="55"/>
      <c r="G485" s="24">
        <v>26500000</v>
      </c>
      <c r="H485" s="24">
        <v>0</v>
      </c>
      <c r="I485" s="24">
        <f t="shared" si="21"/>
        <v>26500000</v>
      </c>
    </row>
    <row r="486" spans="4:9" ht="13.5" thickBot="1">
      <c r="D486" s="5" t="s">
        <v>754</v>
      </c>
      <c r="E486" s="55" t="s">
        <v>212</v>
      </c>
      <c r="F486" s="55"/>
      <c r="G486" s="24">
        <v>940000</v>
      </c>
      <c r="H486" s="24">
        <v>0</v>
      </c>
      <c r="I486" s="24">
        <f t="shared" si="21"/>
        <v>940000</v>
      </c>
    </row>
    <row r="487" spans="5:9" ht="12.75">
      <c r="E487" s="58" t="s">
        <v>716</v>
      </c>
      <c r="F487" s="58"/>
      <c r="G487" s="25"/>
      <c r="H487" s="25"/>
      <c r="I487" s="25"/>
    </row>
    <row r="488" spans="4:9" ht="13.5" thickBot="1">
      <c r="D488" s="5" t="s">
        <v>772</v>
      </c>
      <c r="E488" s="55" t="s">
        <v>773</v>
      </c>
      <c r="F488" s="55"/>
      <c r="G488" s="24">
        <f>SUM(G476:G487)</f>
        <v>1088977000</v>
      </c>
      <c r="I488" s="24">
        <f>G488+H488</f>
        <v>1088977000</v>
      </c>
    </row>
    <row r="489" spans="5:9" ht="13.5" thickBot="1">
      <c r="E489" s="56" t="s">
        <v>717</v>
      </c>
      <c r="F489" s="56"/>
      <c r="G489" s="26">
        <f>SUM(G488:G488)</f>
        <v>1088977000</v>
      </c>
      <c r="H489" s="26">
        <f>SUM(H488:H488)</f>
        <v>0</v>
      </c>
      <c r="I489" s="26">
        <f>G489+H489</f>
        <v>1088977000</v>
      </c>
    </row>
    <row r="490" spans="5:9" ht="12.75">
      <c r="E490" s="58" t="s">
        <v>730</v>
      </c>
      <c r="F490" s="58"/>
      <c r="G490" s="25"/>
      <c r="H490" s="25"/>
      <c r="I490" s="25"/>
    </row>
    <row r="491" spans="4:9" ht="13.5" thickBot="1">
      <c r="D491" s="5" t="s">
        <v>772</v>
      </c>
      <c r="E491" s="55" t="s">
        <v>773</v>
      </c>
      <c r="F491" s="55"/>
      <c r="G491" s="24">
        <f>+G488</f>
        <v>1088977000</v>
      </c>
      <c r="H491" s="24">
        <v>0</v>
      </c>
      <c r="I491" s="24">
        <f>G491+H491</f>
        <v>1088977000</v>
      </c>
    </row>
    <row r="492" spans="5:9" ht="13.5" thickBot="1">
      <c r="E492" s="56" t="s">
        <v>731</v>
      </c>
      <c r="F492" s="56"/>
      <c r="G492" s="26">
        <f>SUM(G491:G491)</f>
        <v>1088977000</v>
      </c>
      <c r="H492" s="26">
        <f>SUM(H491:H491)</f>
        <v>0</v>
      </c>
      <c r="I492" s="26">
        <f>G492+H492</f>
        <v>1088977000</v>
      </c>
    </row>
    <row r="494" spans="1:6" ht="12.75">
      <c r="A494" s="8" t="s">
        <v>766</v>
      </c>
      <c r="B494" s="9" t="s">
        <v>442</v>
      </c>
      <c r="C494" s="8"/>
      <c r="D494" s="9"/>
      <c r="E494" s="57" t="s">
        <v>443</v>
      </c>
      <c r="F494" s="57"/>
    </row>
    <row r="495" spans="1:6" ht="12.75">
      <c r="A495" s="8"/>
      <c r="B495" s="9"/>
      <c r="C495" s="8" t="s">
        <v>782</v>
      </c>
      <c r="D495" s="9"/>
      <c r="E495" s="57" t="s">
        <v>783</v>
      </c>
      <c r="F495" s="57"/>
    </row>
    <row r="496" spans="4:9" ht="12.75">
      <c r="D496" s="5" t="s">
        <v>911</v>
      </c>
      <c r="E496" s="55" t="s">
        <v>199</v>
      </c>
      <c r="F496" s="55"/>
      <c r="G496" s="24">
        <v>2033207000</v>
      </c>
      <c r="H496" s="24">
        <v>0</v>
      </c>
      <c r="I496" s="24">
        <f aca="true" t="shared" si="22" ref="I496:I506">G496+H496</f>
        <v>2033207000</v>
      </c>
    </row>
    <row r="497" spans="4:9" ht="12.75">
      <c r="D497" s="5" t="s">
        <v>912</v>
      </c>
      <c r="E497" s="55" t="s">
        <v>877</v>
      </c>
      <c r="F497" s="55"/>
      <c r="G497" s="24">
        <v>365387000</v>
      </c>
      <c r="H497" s="24">
        <v>0</v>
      </c>
      <c r="I497" s="24">
        <f t="shared" si="22"/>
        <v>365387000</v>
      </c>
    </row>
    <row r="498" spans="4:9" ht="12.75">
      <c r="D498" s="5" t="s">
        <v>918</v>
      </c>
      <c r="E498" s="55" t="s">
        <v>878</v>
      </c>
      <c r="F498" s="55"/>
      <c r="G498" s="24">
        <v>29675000</v>
      </c>
      <c r="H498" s="24">
        <v>0</v>
      </c>
      <c r="I498" s="24">
        <f t="shared" si="22"/>
        <v>29675000</v>
      </c>
    </row>
    <row r="499" spans="4:9" ht="12.75">
      <c r="D499" s="5" t="s">
        <v>921</v>
      </c>
      <c r="E499" s="55" t="s">
        <v>880</v>
      </c>
      <c r="F499" s="55"/>
      <c r="G499" s="24">
        <v>3600000</v>
      </c>
      <c r="H499" s="24">
        <v>0</v>
      </c>
      <c r="I499" s="24">
        <f t="shared" si="22"/>
        <v>3600000</v>
      </c>
    </row>
    <row r="500" spans="4:9" ht="12.75">
      <c r="D500" s="5" t="s">
        <v>919</v>
      </c>
      <c r="E500" s="55" t="s">
        <v>200</v>
      </c>
      <c r="F500" s="55"/>
      <c r="G500" s="24">
        <f>23000000+4500000</f>
        <v>27500000</v>
      </c>
      <c r="H500" s="24">
        <v>0</v>
      </c>
      <c r="I500" s="24">
        <f t="shared" si="22"/>
        <v>27500000</v>
      </c>
    </row>
    <row r="501" spans="4:9" ht="12.75">
      <c r="D501" s="5" t="s">
        <v>913</v>
      </c>
      <c r="E501" s="55" t="s">
        <v>881</v>
      </c>
      <c r="F501" s="55"/>
      <c r="G501" s="24">
        <f>196250000-4500000</f>
        <v>191750000</v>
      </c>
      <c r="H501" s="24">
        <v>0</v>
      </c>
      <c r="I501" s="24">
        <f t="shared" si="22"/>
        <v>191750000</v>
      </c>
    </row>
    <row r="502" spans="4:9" ht="12.75">
      <c r="D502" s="5" t="s">
        <v>915</v>
      </c>
      <c r="E502" s="55" t="s">
        <v>879</v>
      </c>
      <c r="F502" s="55"/>
      <c r="G502" s="24">
        <v>2000000</v>
      </c>
      <c r="H502" s="24">
        <v>0</v>
      </c>
      <c r="I502" s="24">
        <f t="shared" si="22"/>
        <v>2000000</v>
      </c>
    </row>
    <row r="503" spans="4:9" ht="12.75">
      <c r="D503" s="5" t="s">
        <v>916</v>
      </c>
      <c r="E503" s="55" t="s">
        <v>882</v>
      </c>
      <c r="F503" s="55"/>
      <c r="G503" s="24">
        <v>185750000</v>
      </c>
      <c r="H503" s="24">
        <v>0</v>
      </c>
      <c r="I503" s="24">
        <f t="shared" si="22"/>
        <v>185750000</v>
      </c>
    </row>
    <row r="504" spans="4:9" ht="12.75">
      <c r="D504" s="5" t="s">
        <v>924</v>
      </c>
      <c r="E504" s="55" t="s">
        <v>203</v>
      </c>
      <c r="F504" s="55"/>
      <c r="G504" s="24">
        <v>4300000</v>
      </c>
      <c r="H504" s="24">
        <v>0</v>
      </c>
      <c r="I504" s="24">
        <f t="shared" si="22"/>
        <v>4300000</v>
      </c>
    </row>
    <row r="505" spans="4:9" ht="12.75">
      <c r="D505" s="5" t="s">
        <v>925</v>
      </c>
      <c r="E505" s="55" t="s">
        <v>884</v>
      </c>
      <c r="F505" s="55"/>
      <c r="G505" s="24">
        <v>34000000</v>
      </c>
      <c r="H505" s="24">
        <v>0</v>
      </c>
      <c r="I505" s="24">
        <f t="shared" si="22"/>
        <v>34000000</v>
      </c>
    </row>
    <row r="506" spans="4:9" ht="13.5" thickBot="1">
      <c r="D506" s="5" t="s">
        <v>754</v>
      </c>
      <c r="E506" s="55" t="s">
        <v>212</v>
      </c>
      <c r="F506" s="55"/>
      <c r="G506" s="24">
        <v>910000</v>
      </c>
      <c r="H506" s="24">
        <v>0</v>
      </c>
      <c r="I506" s="24">
        <f t="shared" si="22"/>
        <v>910000</v>
      </c>
    </row>
    <row r="507" spans="5:9" ht="12.75">
      <c r="E507" s="58" t="s">
        <v>716</v>
      </c>
      <c r="F507" s="58"/>
      <c r="G507" s="25"/>
      <c r="H507" s="25"/>
      <c r="I507" s="25"/>
    </row>
    <row r="508" spans="4:9" ht="13.5" thickBot="1">
      <c r="D508" s="5" t="s">
        <v>772</v>
      </c>
      <c r="E508" s="55" t="s">
        <v>773</v>
      </c>
      <c r="F508" s="55"/>
      <c r="G508" s="24">
        <f>SUM(G496:G507)</f>
        <v>2878079000</v>
      </c>
      <c r="I508" s="24">
        <f>G508+H508</f>
        <v>2878079000</v>
      </c>
    </row>
    <row r="509" spans="5:9" ht="13.5" thickBot="1">
      <c r="E509" s="56" t="s">
        <v>717</v>
      </c>
      <c r="F509" s="56"/>
      <c r="G509" s="26">
        <f>SUM(G508:G508)</f>
        <v>2878079000</v>
      </c>
      <c r="H509" s="26">
        <f>SUM(H508:H508)</f>
        <v>0</v>
      </c>
      <c r="I509" s="26">
        <f>G509+H509</f>
        <v>2878079000</v>
      </c>
    </row>
    <row r="510" spans="5:9" ht="12.75">
      <c r="E510" s="58" t="s">
        <v>732</v>
      </c>
      <c r="F510" s="58"/>
      <c r="G510" s="25"/>
      <c r="H510" s="25"/>
      <c r="I510" s="25"/>
    </row>
    <row r="511" spans="4:9" ht="13.5" thickBot="1">
      <c r="D511" s="5" t="s">
        <v>772</v>
      </c>
      <c r="E511" s="55" t="s">
        <v>773</v>
      </c>
      <c r="F511" s="55"/>
      <c r="G511" s="24">
        <f>+G508</f>
        <v>2878079000</v>
      </c>
      <c r="H511" s="24">
        <v>0</v>
      </c>
      <c r="I511" s="24">
        <f>G511+H511</f>
        <v>2878079000</v>
      </c>
    </row>
    <row r="512" spans="5:9" ht="13.5" thickBot="1">
      <c r="E512" s="56" t="s">
        <v>733</v>
      </c>
      <c r="F512" s="56"/>
      <c r="G512" s="26">
        <f>SUM(G511:G511)</f>
        <v>2878079000</v>
      </c>
      <c r="H512" s="26">
        <f>SUM(H511:H511)</f>
        <v>0</v>
      </c>
      <c r="I512" s="26">
        <f>G512+H512</f>
        <v>2878079000</v>
      </c>
    </row>
    <row r="514" spans="1:6" ht="12.75">
      <c r="A514" s="8" t="s">
        <v>766</v>
      </c>
      <c r="B514" s="9" t="s">
        <v>444</v>
      </c>
      <c r="C514" s="8"/>
      <c r="D514" s="9"/>
      <c r="E514" s="57" t="s">
        <v>445</v>
      </c>
      <c r="F514" s="57"/>
    </row>
    <row r="515" spans="1:6" ht="12.75">
      <c r="A515" s="8"/>
      <c r="B515" s="9"/>
      <c r="C515" s="8" t="s">
        <v>782</v>
      </c>
      <c r="D515" s="9"/>
      <c r="E515" s="57" t="s">
        <v>783</v>
      </c>
      <c r="F515" s="57"/>
    </row>
    <row r="516" spans="4:9" ht="12.75">
      <c r="D516" s="5" t="s">
        <v>911</v>
      </c>
      <c r="E516" s="55" t="s">
        <v>199</v>
      </c>
      <c r="F516" s="55"/>
      <c r="G516" s="24">
        <v>259718000</v>
      </c>
      <c r="H516" s="24">
        <v>0</v>
      </c>
      <c r="I516" s="24">
        <f aca="true" t="shared" si="23" ref="I516:I526">G516+H516</f>
        <v>259718000</v>
      </c>
    </row>
    <row r="517" spans="4:9" ht="12.75">
      <c r="D517" s="5" t="s">
        <v>912</v>
      </c>
      <c r="E517" s="55" t="s">
        <v>877</v>
      </c>
      <c r="F517" s="55"/>
      <c r="G517" s="24">
        <v>47307000</v>
      </c>
      <c r="H517" s="24">
        <v>0</v>
      </c>
      <c r="I517" s="24">
        <f t="shared" si="23"/>
        <v>47307000</v>
      </c>
    </row>
    <row r="518" spans="4:9" ht="12.75">
      <c r="D518" s="5" t="s">
        <v>918</v>
      </c>
      <c r="E518" s="55" t="s">
        <v>878</v>
      </c>
      <c r="F518" s="55"/>
      <c r="G518" s="24">
        <v>4306000</v>
      </c>
      <c r="H518" s="24">
        <v>0</v>
      </c>
      <c r="I518" s="24">
        <f t="shared" si="23"/>
        <v>4306000</v>
      </c>
    </row>
    <row r="519" spans="4:9" ht="12.75">
      <c r="D519" s="5" t="s">
        <v>921</v>
      </c>
      <c r="E519" s="55" t="s">
        <v>880</v>
      </c>
      <c r="F519" s="55"/>
      <c r="G519" s="24">
        <v>288000</v>
      </c>
      <c r="H519" s="24">
        <v>0</v>
      </c>
      <c r="I519" s="24">
        <f t="shared" si="23"/>
        <v>288000</v>
      </c>
    </row>
    <row r="520" spans="4:9" ht="12.75">
      <c r="D520" s="5" t="s">
        <v>919</v>
      </c>
      <c r="E520" s="55" t="s">
        <v>200</v>
      </c>
      <c r="F520" s="55"/>
      <c r="G520" s="24">
        <v>4625000</v>
      </c>
      <c r="H520" s="24">
        <v>0</v>
      </c>
      <c r="I520" s="24">
        <f t="shared" si="23"/>
        <v>4625000</v>
      </c>
    </row>
    <row r="521" spans="4:9" ht="12.75">
      <c r="D521" s="5" t="s">
        <v>913</v>
      </c>
      <c r="E521" s="55" t="s">
        <v>881</v>
      </c>
      <c r="F521" s="55"/>
      <c r="G521" s="24">
        <v>25000000</v>
      </c>
      <c r="H521" s="24">
        <v>0</v>
      </c>
      <c r="I521" s="24">
        <f t="shared" si="23"/>
        <v>25000000</v>
      </c>
    </row>
    <row r="522" spans="4:9" ht="12.75">
      <c r="D522" s="5" t="s">
        <v>915</v>
      </c>
      <c r="E522" s="55" t="s">
        <v>879</v>
      </c>
      <c r="F522" s="55"/>
      <c r="G522" s="24">
        <v>470000</v>
      </c>
      <c r="H522" s="24">
        <v>0</v>
      </c>
      <c r="I522" s="24">
        <f t="shared" si="23"/>
        <v>470000</v>
      </c>
    </row>
    <row r="523" spans="4:9" ht="12.75">
      <c r="D523" s="5" t="s">
        <v>916</v>
      </c>
      <c r="E523" s="55" t="s">
        <v>882</v>
      </c>
      <c r="F523" s="55"/>
      <c r="G523" s="24">
        <v>3500000</v>
      </c>
      <c r="H523" s="24">
        <v>0</v>
      </c>
      <c r="I523" s="24">
        <f t="shared" si="23"/>
        <v>3500000</v>
      </c>
    </row>
    <row r="524" spans="4:9" ht="12.75">
      <c r="D524" s="5" t="s">
        <v>924</v>
      </c>
      <c r="E524" s="55" t="s">
        <v>203</v>
      </c>
      <c r="F524" s="55"/>
      <c r="G524" s="24">
        <v>384000</v>
      </c>
      <c r="H524" s="24">
        <v>0</v>
      </c>
      <c r="I524" s="24">
        <f t="shared" si="23"/>
        <v>384000</v>
      </c>
    </row>
    <row r="525" spans="4:9" ht="12.75">
      <c r="D525" s="5" t="s">
        <v>925</v>
      </c>
      <c r="E525" s="55" t="s">
        <v>884</v>
      </c>
      <c r="F525" s="55"/>
      <c r="G525" s="24">
        <v>2750000</v>
      </c>
      <c r="H525" s="24">
        <v>0</v>
      </c>
      <c r="I525" s="24">
        <f t="shared" si="23"/>
        <v>2750000</v>
      </c>
    </row>
    <row r="526" spans="4:9" ht="13.5" thickBot="1">
      <c r="D526" s="5" t="s">
        <v>754</v>
      </c>
      <c r="E526" s="55" t="s">
        <v>212</v>
      </c>
      <c r="F526" s="55"/>
      <c r="G526" s="24">
        <v>104000</v>
      </c>
      <c r="H526" s="24">
        <v>0</v>
      </c>
      <c r="I526" s="24">
        <f t="shared" si="23"/>
        <v>104000</v>
      </c>
    </row>
    <row r="527" spans="5:9" ht="12.75">
      <c r="E527" s="58" t="s">
        <v>716</v>
      </c>
      <c r="F527" s="58"/>
      <c r="G527" s="25"/>
      <c r="H527" s="25"/>
      <c r="I527" s="25"/>
    </row>
    <row r="528" spans="4:9" ht="13.5" thickBot="1">
      <c r="D528" s="5" t="s">
        <v>772</v>
      </c>
      <c r="E528" s="55" t="s">
        <v>773</v>
      </c>
      <c r="F528" s="55"/>
      <c r="G528" s="24">
        <f>SUM(G516:G527)</f>
        <v>348452000</v>
      </c>
      <c r="I528" s="24">
        <f>G528+H528</f>
        <v>348452000</v>
      </c>
    </row>
    <row r="529" spans="5:9" ht="13.5" thickBot="1">
      <c r="E529" s="56" t="s">
        <v>717</v>
      </c>
      <c r="F529" s="56"/>
      <c r="G529" s="26">
        <f>SUM(G528:G528)</f>
        <v>348452000</v>
      </c>
      <c r="H529" s="26">
        <f>SUM(H528:H528)</f>
        <v>0</v>
      </c>
      <c r="I529" s="26">
        <f>G529+H529</f>
        <v>348452000</v>
      </c>
    </row>
    <row r="530" spans="5:9" ht="12.75">
      <c r="E530" s="58" t="s">
        <v>734</v>
      </c>
      <c r="F530" s="58"/>
      <c r="G530" s="25"/>
      <c r="H530" s="25"/>
      <c r="I530" s="25"/>
    </row>
    <row r="531" spans="4:9" ht="13.5" thickBot="1">
      <c r="D531" s="5" t="s">
        <v>772</v>
      </c>
      <c r="E531" s="55" t="s">
        <v>773</v>
      </c>
      <c r="F531" s="55"/>
      <c r="G531" s="24">
        <f>+G528</f>
        <v>348452000</v>
      </c>
      <c r="H531" s="24">
        <v>0</v>
      </c>
      <c r="I531" s="24">
        <f>G531+H531</f>
        <v>348452000</v>
      </c>
    </row>
    <row r="532" spans="5:9" ht="13.5" thickBot="1">
      <c r="E532" s="56" t="s">
        <v>735</v>
      </c>
      <c r="F532" s="56"/>
      <c r="G532" s="26">
        <f>SUM(G531:G531)</f>
        <v>348452000</v>
      </c>
      <c r="H532" s="26">
        <f>SUM(H531:H531)</f>
        <v>0</v>
      </c>
      <c r="I532" s="26">
        <f>G532+H532</f>
        <v>348452000</v>
      </c>
    </row>
    <row r="534" spans="1:6" ht="12.75">
      <c r="A534" s="8" t="s">
        <v>766</v>
      </c>
      <c r="B534" s="9" t="s">
        <v>446</v>
      </c>
      <c r="C534" s="8"/>
      <c r="D534" s="9"/>
      <c r="E534" s="57" t="s">
        <v>447</v>
      </c>
      <c r="F534" s="57"/>
    </row>
    <row r="535" spans="1:6" ht="12.75">
      <c r="A535" s="8"/>
      <c r="B535" s="9"/>
      <c r="C535" s="8" t="s">
        <v>782</v>
      </c>
      <c r="D535" s="9"/>
      <c r="E535" s="57" t="s">
        <v>783</v>
      </c>
      <c r="F535" s="57"/>
    </row>
    <row r="536" spans="4:9" ht="12.75">
      <c r="D536" s="5" t="s">
        <v>911</v>
      </c>
      <c r="E536" s="55" t="s">
        <v>199</v>
      </c>
      <c r="F536" s="55"/>
      <c r="G536" s="24">
        <v>169958000</v>
      </c>
      <c r="H536" s="24">
        <v>0</v>
      </c>
      <c r="I536" s="24">
        <f aca="true" t="shared" si="24" ref="I536:I548">G536+H536</f>
        <v>169958000</v>
      </c>
    </row>
    <row r="537" spans="4:9" ht="12.75">
      <c r="D537" s="5" t="s">
        <v>912</v>
      </c>
      <c r="E537" s="55" t="s">
        <v>877</v>
      </c>
      <c r="F537" s="55"/>
      <c r="G537" s="24">
        <v>30570000</v>
      </c>
      <c r="H537" s="24">
        <v>0</v>
      </c>
      <c r="I537" s="24">
        <f t="shared" si="24"/>
        <v>30570000</v>
      </c>
    </row>
    <row r="538" spans="4:9" ht="12.75">
      <c r="D538" s="5" t="s">
        <v>918</v>
      </c>
      <c r="E538" s="55" t="s">
        <v>878</v>
      </c>
      <c r="F538" s="55"/>
      <c r="G538" s="24">
        <v>2985000</v>
      </c>
      <c r="H538" s="24">
        <v>0</v>
      </c>
      <c r="I538" s="24">
        <f t="shared" si="24"/>
        <v>2985000</v>
      </c>
    </row>
    <row r="539" spans="4:9" ht="12.75">
      <c r="D539" s="5" t="s">
        <v>921</v>
      </c>
      <c r="E539" s="55" t="s">
        <v>880</v>
      </c>
      <c r="F539" s="55"/>
      <c r="G539" s="24">
        <v>174000</v>
      </c>
      <c r="H539" s="24">
        <v>0</v>
      </c>
      <c r="I539" s="24">
        <f t="shared" si="24"/>
        <v>174000</v>
      </c>
    </row>
    <row r="540" spans="4:9" ht="12.75">
      <c r="D540" s="5" t="s">
        <v>919</v>
      </c>
      <c r="E540" s="55" t="s">
        <v>200</v>
      </c>
      <c r="F540" s="55"/>
      <c r="G540" s="24">
        <f>2000000+212000</f>
        <v>2212000</v>
      </c>
      <c r="H540" s="24">
        <v>0</v>
      </c>
      <c r="I540" s="24">
        <f t="shared" si="24"/>
        <v>2212000</v>
      </c>
    </row>
    <row r="541" spans="4:9" ht="12.75">
      <c r="D541" s="5" t="s">
        <v>913</v>
      </c>
      <c r="E541" s="55" t="s">
        <v>881</v>
      </c>
      <c r="F541" s="55"/>
      <c r="G541" s="24">
        <v>2300000</v>
      </c>
      <c r="H541" s="24">
        <v>0</v>
      </c>
      <c r="I541" s="24">
        <f t="shared" si="24"/>
        <v>2300000</v>
      </c>
    </row>
    <row r="542" spans="4:9" ht="12.75">
      <c r="D542" s="5" t="s">
        <v>915</v>
      </c>
      <c r="E542" s="55" t="s">
        <v>879</v>
      </c>
      <c r="F542" s="55"/>
      <c r="G542" s="24">
        <v>232000</v>
      </c>
      <c r="H542" s="24">
        <v>0</v>
      </c>
      <c r="I542" s="24">
        <f t="shared" si="24"/>
        <v>232000</v>
      </c>
    </row>
    <row r="543" spans="4:9" ht="12.75">
      <c r="D543" s="5" t="s">
        <v>916</v>
      </c>
      <c r="E543" s="55" t="s">
        <v>882</v>
      </c>
      <c r="F543" s="55"/>
      <c r="G543" s="24">
        <f>4800000-212000</f>
        <v>4588000</v>
      </c>
      <c r="H543" s="24">
        <v>0</v>
      </c>
      <c r="I543" s="24">
        <f t="shared" si="24"/>
        <v>4588000</v>
      </c>
    </row>
    <row r="544" spans="4:9" ht="12.75">
      <c r="D544" s="5" t="s">
        <v>924</v>
      </c>
      <c r="E544" s="55" t="s">
        <v>203</v>
      </c>
      <c r="F544" s="55"/>
      <c r="G544" s="24">
        <f>107000+35000</f>
        <v>142000</v>
      </c>
      <c r="H544" s="24">
        <v>0</v>
      </c>
      <c r="I544" s="24">
        <f t="shared" si="24"/>
        <v>142000</v>
      </c>
    </row>
    <row r="545" spans="4:9" ht="12.75">
      <c r="D545" s="5" t="s">
        <v>925</v>
      </c>
      <c r="E545" s="55" t="s">
        <v>884</v>
      </c>
      <c r="F545" s="55"/>
      <c r="G545" s="24">
        <v>1800000</v>
      </c>
      <c r="H545" s="24">
        <v>0</v>
      </c>
      <c r="I545" s="24">
        <f t="shared" si="24"/>
        <v>1800000</v>
      </c>
    </row>
    <row r="546" spans="4:9" ht="12.75">
      <c r="D546" s="5" t="s">
        <v>754</v>
      </c>
      <c r="E546" s="55" t="s">
        <v>212</v>
      </c>
      <c r="F546" s="55"/>
      <c r="G546" s="24">
        <v>213000</v>
      </c>
      <c r="H546" s="24">
        <v>0</v>
      </c>
      <c r="I546" s="24">
        <f t="shared" si="24"/>
        <v>213000</v>
      </c>
    </row>
    <row r="547" spans="4:9" ht="12.75">
      <c r="D547" s="5" t="s">
        <v>926</v>
      </c>
      <c r="E547" s="55" t="s">
        <v>885</v>
      </c>
      <c r="F547" s="55"/>
      <c r="G547" s="24">
        <v>500000</v>
      </c>
      <c r="H547" s="24">
        <v>0</v>
      </c>
      <c r="I547" s="24">
        <f t="shared" si="24"/>
        <v>500000</v>
      </c>
    </row>
    <row r="548" spans="4:9" ht="13.5" thickBot="1">
      <c r="D548" s="5" t="s">
        <v>927</v>
      </c>
      <c r="E548" s="55" t="s">
        <v>886</v>
      </c>
      <c r="F548" s="55"/>
      <c r="G548" s="24">
        <f>1150000-35000</f>
        <v>1115000</v>
      </c>
      <c r="H548" s="24">
        <v>0</v>
      </c>
      <c r="I548" s="24">
        <f t="shared" si="24"/>
        <v>1115000</v>
      </c>
    </row>
    <row r="549" spans="5:9" ht="12.75">
      <c r="E549" s="58" t="s">
        <v>716</v>
      </c>
      <c r="F549" s="58"/>
      <c r="G549" s="25"/>
      <c r="H549" s="25"/>
      <c r="I549" s="25"/>
    </row>
    <row r="550" spans="4:9" ht="13.5" thickBot="1">
      <c r="D550" s="5" t="s">
        <v>772</v>
      </c>
      <c r="E550" s="55" t="s">
        <v>773</v>
      </c>
      <c r="F550" s="55"/>
      <c r="G550" s="24">
        <f>SUM(G536:G549)</f>
        <v>216789000</v>
      </c>
      <c r="I550" s="24">
        <f>G550+H550</f>
        <v>216789000</v>
      </c>
    </row>
    <row r="551" spans="5:9" ht="13.5" thickBot="1">
      <c r="E551" s="56" t="s">
        <v>717</v>
      </c>
      <c r="F551" s="56"/>
      <c r="G551" s="26">
        <f>SUM(G550:G550)</f>
        <v>216789000</v>
      </c>
      <c r="H551" s="26">
        <f>SUM(H550:H550)</f>
        <v>0</v>
      </c>
      <c r="I551" s="26">
        <f>G551+H551</f>
        <v>216789000</v>
      </c>
    </row>
    <row r="552" spans="5:9" ht="12.75">
      <c r="E552" s="58" t="s">
        <v>736</v>
      </c>
      <c r="F552" s="58"/>
      <c r="G552" s="25"/>
      <c r="H552" s="25"/>
      <c r="I552" s="25"/>
    </row>
    <row r="553" spans="4:9" ht="13.5" thickBot="1">
      <c r="D553" s="5" t="s">
        <v>772</v>
      </c>
      <c r="E553" s="55" t="s">
        <v>773</v>
      </c>
      <c r="F553" s="55"/>
      <c r="G553" s="24">
        <f>+G550</f>
        <v>216789000</v>
      </c>
      <c r="H553" s="24">
        <v>0</v>
      </c>
      <c r="I553" s="24">
        <f>G553+H553</f>
        <v>216789000</v>
      </c>
    </row>
    <row r="554" spans="5:9" ht="13.5" thickBot="1">
      <c r="E554" s="56" t="s">
        <v>737</v>
      </c>
      <c r="F554" s="56"/>
      <c r="G554" s="26">
        <f>SUM(G553:G553)</f>
        <v>216789000</v>
      </c>
      <c r="H554" s="26">
        <f>SUM(H553:H553)</f>
        <v>0</v>
      </c>
      <c r="I554" s="26">
        <f>G554+H554</f>
        <v>216789000</v>
      </c>
    </row>
    <row r="556" spans="1:6" ht="12.75">
      <c r="A556" s="8" t="s">
        <v>766</v>
      </c>
      <c r="B556" s="9" t="s">
        <v>448</v>
      </c>
      <c r="C556" s="8"/>
      <c r="D556" s="9"/>
      <c r="E556" s="57" t="s">
        <v>449</v>
      </c>
      <c r="F556" s="57"/>
    </row>
    <row r="557" spans="1:6" ht="12.75">
      <c r="A557" s="8"/>
      <c r="B557" s="9"/>
      <c r="C557" s="8" t="s">
        <v>782</v>
      </c>
      <c r="D557" s="9"/>
      <c r="E557" s="57" t="s">
        <v>783</v>
      </c>
      <c r="F557" s="57"/>
    </row>
    <row r="558" spans="4:9" ht="12.75">
      <c r="D558" s="5" t="s">
        <v>911</v>
      </c>
      <c r="E558" s="55" t="s">
        <v>199</v>
      </c>
      <c r="F558" s="55"/>
      <c r="G558" s="24">
        <v>352193000</v>
      </c>
      <c r="H558" s="24">
        <v>0</v>
      </c>
      <c r="I558" s="24">
        <f aca="true" t="shared" si="25" ref="I558:I569">G558+H558</f>
        <v>352193000</v>
      </c>
    </row>
    <row r="559" spans="4:9" ht="12.75">
      <c r="D559" s="5" t="s">
        <v>912</v>
      </c>
      <c r="E559" s="55" t="s">
        <v>877</v>
      </c>
      <c r="F559" s="55"/>
      <c r="G559" s="24">
        <v>63944000</v>
      </c>
      <c r="H559" s="24">
        <v>0</v>
      </c>
      <c r="I559" s="24">
        <f t="shared" si="25"/>
        <v>63944000</v>
      </c>
    </row>
    <row r="560" spans="4:9" ht="12.75">
      <c r="D560" s="5" t="s">
        <v>918</v>
      </c>
      <c r="E560" s="55" t="s">
        <v>878</v>
      </c>
      <c r="F560" s="55"/>
      <c r="G560" s="24">
        <v>5000000</v>
      </c>
      <c r="H560" s="24">
        <v>0</v>
      </c>
      <c r="I560" s="24">
        <f t="shared" si="25"/>
        <v>5000000</v>
      </c>
    </row>
    <row r="561" spans="4:9" ht="12.75">
      <c r="D561" s="5" t="s">
        <v>921</v>
      </c>
      <c r="E561" s="55" t="s">
        <v>880</v>
      </c>
      <c r="F561" s="55"/>
      <c r="G561" s="24">
        <v>510000</v>
      </c>
      <c r="H561" s="24">
        <v>0</v>
      </c>
      <c r="I561" s="24">
        <f t="shared" si="25"/>
        <v>510000</v>
      </c>
    </row>
    <row r="562" spans="4:9" ht="12.75">
      <c r="D562" s="5" t="s">
        <v>919</v>
      </c>
      <c r="E562" s="55" t="s">
        <v>200</v>
      </c>
      <c r="F562" s="55"/>
      <c r="G562" s="24">
        <v>5000000</v>
      </c>
      <c r="H562" s="24">
        <v>0</v>
      </c>
      <c r="I562" s="24">
        <f t="shared" si="25"/>
        <v>5000000</v>
      </c>
    </row>
    <row r="563" spans="4:9" ht="12.75">
      <c r="D563" s="5" t="s">
        <v>913</v>
      </c>
      <c r="E563" s="55" t="s">
        <v>881</v>
      </c>
      <c r="F563" s="55"/>
      <c r="G563" s="24">
        <v>7533000</v>
      </c>
      <c r="H563" s="24">
        <v>0</v>
      </c>
      <c r="I563" s="24">
        <f t="shared" si="25"/>
        <v>7533000</v>
      </c>
    </row>
    <row r="564" spans="4:9" ht="12.75">
      <c r="D564" s="5" t="s">
        <v>915</v>
      </c>
      <c r="E564" s="55" t="s">
        <v>879</v>
      </c>
      <c r="F564" s="55"/>
      <c r="G564" s="24">
        <v>500000</v>
      </c>
      <c r="H564" s="24">
        <v>0</v>
      </c>
      <c r="I564" s="24">
        <f t="shared" si="25"/>
        <v>500000</v>
      </c>
    </row>
    <row r="565" spans="4:9" ht="12.75">
      <c r="D565" s="5" t="s">
        <v>916</v>
      </c>
      <c r="E565" s="55" t="s">
        <v>882</v>
      </c>
      <c r="F565" s="55"/>
      <c r="G565" s="24">
        <v>7080000</v>
      </c>
      <c r="H565" s="24">
        <v>0</v>
      </c>
      <c r="I565" s="24">
        <f t="shared" si="25"/>
        <v>7080000</v>
      </c>
    </row>
    <row r="566" spans="4:9" ht="12.75">
      <c r="D566" s="5" t="s">
        <v>923</v>
      </c>
      <c r="E566" s="55" t="s">
        <v>883</v>
      </c>
      <c r="F566" s="55"/>
      <c r="G566" s="24">
        <v>100000</v>
      </c>
      <c r="H566" s="24">
        <v>0</v>
      </c>
      <c r="I566" s="24">
        <f t="shared" si="25"/>
        <v>100000</v>
      </c>
    </row>
    <row r="567" spans="4:9" ht="12.75">
      <c r="D567" s="5" t="s">
        <v>924</v>
      </c>
      <c r="E567" s="55" t="s">
        <v>203</v>
      </c>
      <c r="F567" s="55"/>
      <c r="G567" s="24">
        <v>116000</v>
      </c>
      <c r="H567" s="24">
        <v>0</v>
      </c>
      <c r="I567" s="24">
        <f t="shared" si="25"/>
        <v>116000</v>
      </c>
    </row>
    <row r="568" spans="4:9" ht="12.75">
      <c r="D568" s="5" t="s">
        <v>925</v>
      </c>
      <c r="E568" s="55" t="s">
        <v>884</v>
      </c>
      <c r="F568" s="55"/>
      <c r="G568" s="24">
        <v>3750000</v>
      </c>
      <c r="H568" s="24">
        <v>0</v>
      </c>
      <c r="I568" s="24">
        <f t="shared" si="25"/>
        <v>3750000</v>
      </c>
    </row>
    <row r="569" spans="4:9" ht="13.5" thickBot="1">
      <c r="D569" s="5" t="s">
        <v>754</v>
      </c>
      <c r="E569" s="55" t="s">
        <v>212</v>
      </c>
      <c r="F569" s="55"/>
      <c r="G569" s="24">
        <v>263000</v>
      </c>
      <c r="H569" s="24">
        <v>0</v>
      </c>
      <c r="I569" s="24">
        <f t="shared" si="25"/>
        <v>263000</v>
      </c>
    </row>
    <row r="570" spans="5:9" ht="12.75">
      <c r="E570" s="58" t="s">
        <v>716</v>
      </c>
      <c r="F570" s="58"/>
      <c r="G570" s="25"/>
      <c r="H570" s="25"/>
      <c r="I570" s="25"/>
    </row>
    <row r="571" spans="4:9" ht="13.5" thickBot="1">
      <c r="D571" s="5" t="s">
        <v>772</v>
      </c>
      <c r="E571" s="55" t="s">
        <v>773</v>
      </c>
      <c r="F571" s="55"/>
      <c r="G571" s="24">
        <f>SUM(G558:G570)</f>
        <v>445989000</v>
      </c>
      <c r="I571" s="24">
        <f>G571+H571</f>
        <v>445989000</v>
      </c>
    </row>
    <row r="572" spans="5:9" ht="13.5" thickBot="1">
      <c r="E572" s="56" t="s">
        <v>717</v>
      </c>
      <c r="F572" s="56"/>
      <c r="G572" s="26">
        <f>SUM(G571:G571)</f>
        <v>445989000</v>
      </c>
      <c r="H572" s="26">
        <f>SUM(H571:H571)</f>
        <v>0</v>
      </c>
      <c r="I572" s="26">
        <f>G572+H572</f>
        <v>445989000</v>
      </c>
    </row>
    <row r="573" spans="5:9" ht="12.75">
      <c r="E573" s="58" t="s">
        <v>738</v>
      </c>
      <c r="F573" s="58"/>
      <c r="G573" s="25"/>
      <c r="H573" s="25"/>
      <c r="I573" s="25"/>
    </row>
    <row r="574" spans="4:9" ht="13.5" thickBot="1">
      <c r="D574" s="5" t="s">
        <v>772</v>
      </c>
      <c r="E574" s="55" t="s">
        <v>773</v>
      </c>
      <c r="F574" s="55"/>
      <c r="G574" s="24">
        <f>+G571</f>
        <v>445989000</v>
      </c>
      <c r="H574" s="24">
        <v>0</v>
      </c>
      <c r="I574" s="24">
        <f>G574+H574</f>
        <v>445989000</v>
      </c>
    </row>
    <row r="575" spans="5:9" ht="13.5" thickBot="1">
      <c r="E575" s="56" t="s">
        <v>739</v>
      </c>
      <c r="F575" s="56"/>
      <c r="G575" s="26">
        <f>SUM(G574:G574)</f>
        <v>445989000</v>
      </c>
      <c r="H575" s="26">
        <f>SUM(H574:H574)</f>
        <v>0</v>
      </c>
      <c r="I575" s="26">
        <f>G575+H575</f>
        <v>445989000</v>
      </c>
    </row>
    <row r="577" spans="1:6" ht="12.75">
      <c r="A577" s="8" t="s">
        <v>766</v>
      </c>
      <c r="B577" s="9" t="s">
        <v>450</v>
      </c>
      <c r="C577" s="8"/>
      <c r="D577" s="9"/>
      <c r="E577" s="57" t="s">
        <v>451</v>
      </c>
      <c r="F577" s="57"/>
    </row>
    <row r="578" spans="1:6" ht="12.75">
      <c r="A578" s="8"/>
      <c r="B578" s="9"/>
      <c r="C578" s="8" t="s">
        <v>782</v>
      </c>
      <c r="D578" s="9"/>
      <c r="E578" s="57" t="s">
        <v>783</v>
      </c>
      <c r="F578" s="57"/>
    </row>
    <row r="579" spans="4:9" ht="12.75">
      <c r="D579" s="5" t="s">
        <v>911</v>
      </c>
      <c r="E579" s="55" t="s">
        <v>199</v>
      </c>
      <c r="F579" s="55"/>
      <c r="G579" s="24">
        <v>39159000</v>
      </c>
      <c r="H579" s="24">
        <v>0</v>
      </c>
      <c r="I579" s="24">
        <f aca="true" t="shared" si="26" ref="I579:I588">G579+H579</f>
        <v>39159000</v>
      </c>
    </row>
    <row r="580" spans="4:9" ht="12.75">
      <c r="D580" s="5" t="s">
        <v>912</v>
      </c>
      <c r="E580" s="55" t="s">
        <v>877</v>
      </c>
      <c r="F580" s="55"/>
      <c r="G580" s="24">
        <v>7030000</v>
      </c>
      <c r="H580" s="24">
        <v>0</v>
      </c>
      <c r="I580" s="24">
        <f t="shared" si="26"/>
        <v>7030000</v>
      </c>
    </row>
    <row r="581" spans="4:9" ht="12.75">
      <c r="D581" s="5" t="s">
        <v>918</v>
      </c>
      <c r="E581" s="55" t="s">
        <v>878</v>
      </c>
      <c r="F581" s="55"/>
      <c r="G581" s="24">
        <v>548000</v>
      </c>
      <c r="H581" s="24">
        <v>0</v>
      </c>
      <c r="I581" s="24">
        <f t="shared" si="26"/>
        <v>548000</v>
      </c>
    </row>
    <row r="582" spans="4:9" ht="12.75">
      <c r="D582" s="5" t="s">
        <v>921</v>
      </c>
      <c r="E582" s="55" t="s">
        <v>880</v>
      </c>
      <c r="F582" s="55"/>
      <c r="G582" s="24">
        <v>100000</v>
      </c>
      <c r="H582" s="24">
        <v>0</v>
      </c>
      <c r="I582" s="24">
        <f t="shared" si="26"/>
        <v>100000</v>
      </c>
    </row>
    <row r="583" spans="4:9" ht="12.75">
      <c r="D583" s="5" t="s">
        <v>919</v>
      </c>
      <c r="E583" s="55" t="s">
        <v>200</v>
      </c>
      <c r="F583" s="55"/>
      <c r="G583" s="24">
        <v>795000</v>
      </c>
      <c r="H583" s="24">
        <v>0</v>
      </c>
      <c r="I583" s="24">
        <f t="shared" si="26"/>
        <v>795000</v>
      </c>
    </row>
    <row r="584" spans="4:9" ht="12.75">
      <c r="D584" s="5" t="s">
        <v>913</v>
      </c>
      <c r="E584" s="55" t="s">
        <v>881</v>
      </c>
      <c r="F584" s="55"/>
      <c r="G584" s="24">
        <v>3000000</v>
      </c>
      <c r="H584" s="24">
        <v>0</v>
      </c>
      <c r="I584" s="24">
        <f t="shared" si="26"/>
        <v>3000000</v>
      </c>
    </row>
    <row r="585" spans="4:9" ht="12.75">
      <c r="D585" s="5" t="s">
        <v>915</v>
      </c>
      <c r="E585" s="55" t="s">
        <v>879</v>
      </c>
      <c r="F585" s="55"/>
      <c r="G585" s="24">
        <v>197000</v>
      </c>
      <c r="H585" s="24">
        <v>0</v>
      </c>
      <c r="I585" s="24">
        <f t="shared" si="26"/>
        <v>197000</v>
      </c>
    </row>
    <row r="586" spans="4:9" ht="12.75">
      <c r="D586" s="5" t="s">
        <v>916</v>
      </c>
      <c r="E586" s="55" t="s">
        <v>882</v>
      </c>
      <c r="F586" s="55"/>
      <c r="G586" s="24">
        <v>925000</v>
      </c>
      <c r="H586" s="24">
        <v>0</v>
      </c>
      <c r="I586" s="24">
        <f t="shared" si="26"/>
        <v>925000</v>
      </c>
    </row>
    <row r="587" spans="4:9" ht="12.75">
      <c r="D587" s="5" t="s">
        <v>924</v>
      </c>
      <c r="E587" s="55" t="s">
        <v>203</v>
      </c>
      <c r="F587" s="55"/>
      <c r="G587" s="24">
        <v>75000</v>
      </c>
      <c r="H587" s="24">
        <v>0</v>
      </c>
      <c r="I587" s="24">
        <f t="shared" si="26"/>
        <v>75000</v>
      </c>
    </row>
    <row r="588" spans="4:9" ht="13.5" thickBot="1">
      <c r="D588" s="5" t="s">
        <v>925</v>
      </c>
      <c r="E588" s="55" t="s">
        <v>884</v>
      </c>
      <c r="F588" s="55"/>
      <c r="G588" s="24">
        <v>1200000</v>
      </c>
      <c r="H588" s="24">
        <v>0</v>
      </c>
      <c r="I588" s="24">
        <f t="shared" si="26"/>
        <v>1200000</v>
      </c>
    </row>
    <row r="589" spans="5:9" ht="12.75">
      <c r="E589" s="58" t="s">
        <v>716</v>
      </c>
      <c r="F589" s="58"/>
      <c r="G589" s="25"/>
      <c r="H589" s="25"/>
      <c r="I589" s="25"/>
    </row>
    <row r="590" spans="4:9" ht="13.5" thickBot="1">
      <c r="D590" s="5" t="s">
        <v>772</v>
      </c>
      <c r="E590" s="55" t="s">
        <v>773</v>
      </c>
      <c r="F590" s="55"/>
      <c r="G590" s="24">
        <f>SUM(G579:G589)</f>
        <v>53029000</v>
      </c>
      <c r="I590" s="24">
        <f>G590+H590</f>
        <v>53029000</v>
      </c>
    </row>
    <row r="591" spans="5:9" ht="13.5" thickBot="1">
      <c r="E591" s="56" t="s">
        <v>717</v>
      </c>
      <c r="F591" s="56"/>
      <c r="G591" s="26">
        <f>SUM(G590:G590)</f>
        <v>53029000</v>
      </c>
      <c r="H591" s="26">
        <f>SUM(H590:H590)</f>
        <v>0</v>
      </c>
      <c r="I591" s="26">
        <f>G591+H591</f>
        <v>53029000</v>
      </c>
    </row>
    <row r="592" spans="5:9" ht="12.75">
      <c r="E592" s="58" t="s">
        <v>740</v>
      </c>
      <c r="F592" s="58"/>
      <c r="G592" s="25"/>
      <c r="H592" s="25"/>
      <c r="I592" s="25"/>
    </row>
    <row r="593" spans="4:9" ht="13.5" thickBot="1">
      <c r="D593" s="5" t="s">
        <v>772</v>
      </c>
      <c r="E593" s="55" t="s">
        <v>773</v>
      </c>
      <c r="F593" s="55"/>
      <c r="G593" s="24">
        <f>+G590</f>
        <v>53029000</v>
      </c>
      <c r="H593" s="24">
        <v>0</v>
      </c>
      <c r="I593" s="24">
        <f>G593+H593</f>
        <v>53029000</v>
      </c>
    </row>
    <row r="594" spans="5:9" ht="13.5" thickBot="1">
      <c r="E594" s="56" t="s">
        <v>741</v>
      </c>
      <c r="F594" s="56"/>
      <c r="G594" s="26">
        <f>SUM(G593:G593)</f>
        <v>53029000</v>
      </c>
      <c r="H594" s="26">
        <f>SUM(H593:H593)</f>
        <v>0</v>
      </c>
      <c r="I594" s="26">
        <f>G594+H594</f>
        <v>53029000</v>
      </c>
    </row>
    <row r="596" spans="1:6" ht="12.75">
      <c r="A596" s="8" t="s">
        <v>766</v>
      </c>
      <c r="B596" s="9" t="s">
        <v>452</v>
      </c>
      <c r="C596" s="8"/>
      <c r="D596" s="9"/>
      <c r="E596" s="57" t="s">
        <v>453</v>
      </c>
      <c r="F596" s="57"/>
    </row>
    <row r="597" spans="1:6" ht="12.75">
      <c r="A597" s="8"/>
      <c r="B597" s="9"/>
      <c r="C597" s="8" t="s">
        <v>782</v>
      </c>
      <c r="D597" s="9"/>
      <c r="E597" s="57" t="s">
        <v>783</v>
      </c>
      <c r="F597" s="57"/>
    </row>
    <row r="598" spans="4:9" ht="12.75">
      <c r="D598" s="5" t="s">
        <v>911</v>
      </c>
      <c r="E598" s="55" t="s">
        <v>199</v>
      </c>
      <c r="F598" s="55"/>
      <c r="G598" s="24">
        <v>617113000</v>
      </c>
      <c r="H598" s="24">
        <v>0</v>
      </c>
      <c r="I598" s="24">
        <f aca="true" t="shared" si="27" ref="I598:I609">G598+H598</f>
        <v>617113000</v>
      </c>
    </row>
    <row r="599" spans="4:9" ht="12.75">
      <c r="D599" s="5" t="s">
        <v>912</v>
      </c>
      <c r="E599" s="55" t="s">
        <v>877</v>
      </c>
      <c r="F599" s="55"/>
      <c r="G599" s="24">
        <v>112074000</v>
      </c>
      <c r="H599" s="24">
        <v>0</v>
      </c>
      <c r="I599" s="24">
        <f t="shared" si="27"/>
        <v>112074000</v>
      </c>
    </row>
    <row r="600" spans="4:9" ht="12.75">
      <c r="D600" s="5" t="s">
        <v>918</v>
      </c>
      <c r="E600" s="55" t="s">
        <v>878</v>
      </c>
      <c r="F600" s="55"/>
      <c r="G600" s="24">
        <v>11075000</v>
      </c>
      <c r="H600" s="24">
        <v>0</v>
      </c>
      <c r="I600" s="24">
        <f t="shared" si="27"/>
        <v>11075000</v>
      </c>
    </row>
    <row r="601" spans="4:9" ht="12.75">
      <c r="D601" s="5" t="s">
        <v>921</v>
      </c>
      <c r="E601" s="55" t="s">
        <v>880</v>
      </c>
      <c r="F601" s="55"/>
      <c r="G601" s="24">
        <v>1210000</v>
      </c>
      <c r="H601" s="24">
        <v>0</v>
      </c>
      <c r="I601" s="24">
        <f t="shared" si="27"/>
        <v>1210000</v>
      </c>
    </row>
    <row r="602" spans="4:9" ht="12.75">
      <c r="D602" s="5" t="s">
        <v>919</v>
      </c>
      <c r="E602" s="55" t="s">
        <v>200</v>
      </c>
      <c r="F602" s="55"/>
      <c r="G602" s="24">
        <v>8600000</v>
      </c>
      <c r="H602" s="24">
        <v>0</v>
      </c>
      <c r="I602" s="24">
        <f t="shared" si="27"/>
        <v>8600000</v>
      </c>
    </row>
    <row r="603" spans="4:9" ht="12.75">
      <c r="D603" s="5" t="s">
        <v>913</v>
      </c>
      <c r="E603" s="55" t="s">
        <v>881</v>
      </c>
      <c r="F603" s="55"/>
      <c r="G603" s="24">
        <v>60000000</v>
      </c>
      <c r="H603" s="24">
        <v>0</v>
      </c>
      <c r="I603" s="24">
        <f t="shared" si="27"/>
        <v>60000000</v>
      </c>
    </row>
    <row r="604" spans="4:9" ht="12.75">
      <c r="D604" s="5" t="s">
        <v>915</v>
      </c>
      <c r="E604" s="55" t="s">
        <v>879</v>
      </c>
      <c r="F604" s="55"/>
      <c r="G604" s="24">
        <v>200000</v>
      </c>
      <c r="H604" s="24">
        <v>0</v>
      </c>
      <c r="I604" s="24">
        <f t="shared" si="27"/>
        <v>200000</v>
      </c>
    </row>
    <row r="605" spans="4:9" ht="12.75">
      <c r="D605" s="5" t="s">
        <v>916</v>
      </c>
      <c r="E605" s="55" t="s">
        <v>882</v>
      </c>
      <c r="F605" s="55"/>
      <c r="G605" s="24">
        <v>2100000</v>
      </c>
      <c r="H605" s="24">
        <v>0</v>
      </c>
      <c r="I605" s="24">
        <f t="shared" si="27"/>
        <v>2100000</v>
      </c>
    </row>
    <row r="606" spans="4:9" ht="12.75">
      <c r="D606" s="5" t="s">
        <v>924</v>
      </c>
      <c r="E606" s="55" t="s">
        <v>203</v>
      </c>
      <c r="F606" s="55"/>
      <c r="G606" s="24">
        <v>350000</v>
      </c>
      <c r="H606" s="24">
        <v>0</v>
      </c>
      <c r="I606" s="24">
        <f t="shared" si="27"/>
        <v>350000</v>
      </c>
    </row>
    <row r="607" spans="4:9" ht="12.75">
      <c r="D607" s="5" t="s">
        <v>925</v>
      </c>
      <c r="E607" s="55" t="s">
        <v>884</v>
      </c>
      <c r="F607" s="55"/>
      <c r="G607" s="24">
        <v>7750000</v>
      </c>
      <c r="H607" s="24">
        <v>0</v>
      </c>
      <c r="I607" s="24">
        <f t="shared" si="27"/>
        <v>7750000</v>
      </c>
    </row>
    <row r="608" spans="4:9" ht="12.75">
      <c r="D608" s="5" t="s">
        <v>754</v>
      </c>
      <c r="E608" s="55" t="s">
        <v>212</v>
      </c>
      <c r="F608" s="55"/>
      <c r="G608" s="24">
        <v>76000</v>
      </c>
      <c r="H608" s="24">
        <v>0</v>
      </c>
      <c r="I608" s="24">
        <f t="shared" si="27"/>
        <v>76000</v>
      </c>
    </row>
    <row r="609" spans="4:9" ht="13.5" thickBot="1">
      <c r="D609" s="5" t="s">
        <v>926</v>
      </c>
      <c r="E609" s="55" t="s">
        <v>885</v>
      </c>
      <c r="F609" s="55"/>
      <c r="G609" s="24">
        <v>57613000</v>
      </c>
      <c r="H609" s="24">
        <v>0</v>
      </c>
      <c r="I609" s="24">
        <f t="shared" si="27"/>
        <v>57613000</v>
      </c>
    </row>
    <row r="610" spans="5:9" ht="12.75">
      <c r="E610" s="58" t="s">
        <v>716</v>
      </c>
      <c r="F610" s="58"/>
      <c r="G610" s="25"/>
      <c r="H610" s="25"/>
      <c r="I610" s="25"/>
    </row>
    <row r="611" spans="4:9" ht="13.5" thickBot="1">
      <c r="D611" s="5" t="s">
        <v>772</v>
      </c>
      <c r="E611" s="55" t="s">
        <v>773</v>
      </c>
      <c r="F611" s="55"/>
      <c r="G611" s="24">
        <f>SUM(G598:G610)</f>
        <v>878161000</v>
      </c>
      <c r="I611" s="24">
        <f>G611+H611</f>
        <v>878161000</v>
      </c>
    </row>
    <row r="612" spans="5:9" ht="13.5" thickBot="1">
      <c r="E612" s="56" t="s">
        <v>717</v>
      </c>
      <c r="F612" s="56"/>
      <c r="G612" s="26">
        <f>SUM(G611:G611)</f>
        <v>878161000</v>
      </c>
      <c r="H612" s="26">
        <f>SUM(H611:H611)</f>
        <v>0</v>
      </c>
      <c r="I612" s="26">
        <f>G612+H612</f>
        <v>878161000</v>
      </c>
    </row>
    <row r="613" spans="5:9" ht="12.75">
      <c r="E613" s="58" t="s">
        <v>742</v>
      </c>
      <c r="F613" s="58"/>
      <c r="G613" s="25"/>
      <c r="H613" s="25"/>
      <c r="I613" s="25"/>
    </row>
    <row r="614" spans="4:9" ht="13.5" thickBot="1">
      <c r="D614" s="5" t="s">
        <v>772</v>
      </c>
      <c r="E614" s="55" t="s">
        <v>773</v>
      </c>
      <c r="F614" s="55"/>
      <c r="G614" s="24">
        <f>+G611</f>
        <v>878161000</v>
      </c>
      <c r="H614" s="24">
        <v>0</v>
      </c>
      <c r="I614" s="24">
        <f>G614+H614</f>
        <v>878161000</v>
      </c>
    </row>
    <row r="615" spans="5:9" ht="13.5" thickBot="1">
      <c r="E615" s="56" t="s">
        <v>743</v>
      </c>
      <c r="F615" s="56"/>
      <c r="G615" s="26">
        <f>SUM(G614:G614)</f>
        <v>878161000</v>
      </c>
      <c r="H615" s="26">
        <f>SUM(H614:H614)</f>
        <v>0</v>
      </c>
      <c r="I615" s="26">
        <f>G615+H615</f>
        <v>878161000</v>
      </c>
    </row>
    <row r="616" spans="5:9" ht="12.75">
      <c r="E616" s="58" t="s">
        <v>744</v>
      </c>
      <c r="F616" s="58"/>
      <c r="G616" s="25"/>
      <c r="H616" s="25"/>
      <c r="I616" s="25"/>
    </row>
    <row r="617" spans="4:9" ht="12.75">
      <c r="D617" s="5" t="s">
        <v>772</v>
      </c>
      <c r="E617" s="55" t="s">
        <v>773</v>
      </c>
      <c r="F617" s="55"/>
      <c r="G617" s="24">
        <f>+G614+G593+G574+G553+G531+G511+G491+G469+G446+G423+G398+G373+G348</f>
        <v>6768893000</v>
      </c>
      <c r="H617" s="24">
        <v>0</v>
      </c>
      <c r="I617" s="24">
        <f>G617+H617</f>
        <v>6768893000</v>
      </c>
    </row>
    <row r="618" spans="4:9" ht="12.75">
      <c r="D618" s="5" t="s">
        <v>784</v>
      </c>
      <c r="E618" s="55" t="s">
        <v>785</v>
      </c>
      <c r="F618" s="55"/>
      <c r="G618" s="24">
        <v>0</v>
      </c>
      <c r="H618" s="24">
        <f>+H470+H424+H399+H374+H349</f>
        <v>2299280000</v>
      </c>
      <c r="I618" s="24">
        <f>G618+H618</f>
        <v>2299280000</v>
      </c>
    </row>
    <row r="619" spans="4:9" ht="12.75">
      <c r="D619" s="5" t="s">
        <v>786</v>
      </c>
      <c r="E619" s="55" t="s">
        <v>787</v>
      </c>
      <c r="F619" s="55"/>
      <c r="G619" s="24">
        <v>0</v>
      </c>
      <c r="H619" s="24">
        <f>+H350</f>
        <v>1250000</v>
      </c>
      <c r="I619" s="24">
        <f>G619+H619</f>
        <v>1250000</v>
      </c>
    </row>
    <row r="620" spans="4:9" ht="13.5" thickBot="1">
      <c r="D620" s="5" t="s">
        <v>825</v>
      </c>
      <c r="E620" s="55" t="s">
        <v>905</v>
      </c>
      <c r="F620" s="55"/>
      <c r="G620" s="24">
        <v>0</v>
      </c>
      <c r="H620" s="24">
        <f>+H471+H447+H425+H400+H351</f>
        <v>631896832.47</v>
      </c>
      <c r="I620" s="24">
        <f>G620+H620</f>
        <v>631896832.47</v>
      </c>
    </row>
    <row r="621" spans="5:9" ht="13.5" thickBot="1">
      <c r="E621" s="56" t="s">
        <v>983</v>
      </c>
      <c r="F621" s="56"/>
      <c r="G621" s="26">
        <f>SUM(G617:G620)</f>
        <v>6768893000</v>
      </c>
      <c r="H621" s="26">
        <f>SUM(H617:H620)</f>
        <v>2932426832.4700003</v>
      </c>
      <c r="I621" s="26">
        <f>G621+H621</f>
        <v>9701319832.470001</v>
      </c>
    </row>
    <row r="623" spans="1:6" ht="12.75">
      <c r="A623" s="8" t="s">
        <v>454</v>
      </c>
      <c r="B623" s="9" t="s">
        <v>766</v>
      </c>
      <c r="C623" s="8"/>
      <c r="D623" s="9"/>
      <c r="E623" s="57" t="s">
        <v>455</v>
      </c>
      <c r="F623" s="57"/>
    </row>
    <row r="624" spans="1:6" ht="12.75">
      <c r="A624" s="8"/>
      <c r="B624" s="9"/>
      <c r="C624" s="8" t="s">
        <v>776</v>
      </c>
      <c r="D624" s="9"/>
      <c r="E624" s="57" t="s">
        <v>777</v>
      </c>
      <c r="F624" s="57"/>
    </row>
    <row r="625" spans="4:9" ht="12.75">
      <c r="D625" s="5" t="s">
        <v>911</v>
      </c>
      <c r="E625" s="55" t="s">
        <v>199</v>
      </c>
      <c r="F625" s="55"/>
      <c r="G625" s="24">
        <v>8197000</v>
      </c>
      <c r="H625" s="24">
        <v>0</v>
      </c>
      <c r="I625" s="24">
        <f aca="true" t="shared" si="28" ref="I625:I634">G625+H625</f>
        <v>8197000</v>
      </c>
    </row>
    <row r="626" spans="4:9" ht="12.75">
      <c r="D626" s="5" t="s">
        <v>912</v>
      </c>
      <c r="E626" s="55" t="s">
        <v>877</v>
      </c>
      <c r="F626" s="55"/>
      <c r="G626" s="24">
        <v>1467000</v>
      </c>
      <c r="H626" s="24">
        <v>0</v>
      </c>
      <c r="I626" s="24">
        <f t="shared" si="28"/>
        <v>1467000</v>
      </c>
    </row>
    <row r="627" spans="4:9" ht="12.75">
      <c r="D627" s="5" t="s">
        <v>918</v>
      </c>
      <c r="E627" s="55" t="s">
        <v>878</v>
      </c>
      <c r="F627" s="55"/>
      <c r="G627" s="24">
        <v>10000</v>
      </c>
      <c r="H627" s="24">
        <v>0</v>
      </c>
      <c r="I627" s="24">
        <f t="shared" si="28"/>
        <v>10000</v>
      </c>
    </row>
    <row r="628" spans="4:9" ht="12.75">
      <c r="D628" s="5" t="s">
        <v>921</v>
      </c>
      <c r="E628" s="55" t="s">
        <v>880</v>
      </c>
      <c r="F628" s="55"/>
      <c r="G628" s="24">
        <v>10000</v>
      </c>
      <c r="H628" s="24">
        <v>0</v>
      </c>
      <c r="I628" s="24">
        <f t="shared" si="28"/>
        <v>10000</v>
      </c>
    </row>
    <row r="629" spans="4:9" ht="12.75">
      <c r="D629" s="5" t="s">
        <v>919</v>
      </c>
      <c r="E629" s="55" t="s">
        <v>200</v>
      </c>
      <c r="F629" s="55"/>
      <c r="G629" s="24">
        <v>5000</v>
      </c>
      <c r="H629" s="24">
        <v>0</v>
      </c>
      <c r="I629" s="24">
        <f t="shared" si="28"/>
        <v>5000</v>
      </c>
    </row>
    <row r="630" spans="4:9" ht="12.75">
      <c r="D630" s="5" t="s">
        <v>913</v>
      </c>
      <c r="E630" s="55" t="s">
        <v>881</v>
      </c>
      <c r="F630" s="55"/>
      <c r="G630" s="24">
        <v>15000</v>
      </c>
      <c r="H630" s="24">
        <v>0</v>
      </c>
      <c r="I630" s="24">
        <f t="shared" si="28"/>
        <v>15000</v>
      </c>
    </row>
    <row r="631" spans="4:9" ht="12.75">
      <c r="D631" s="5" t="s">
        <v>915</v>
      </c>
      <c r="E631" s="55" t="s">
        <v>879</v>
      </c>
      <c r="F631" s="55"/>
      <c r="G631" s="24">
        <v>5000</v>
      </c>
      <c r="H631" s="24">
        <v>0</v>
      </c>
      <c r="I631" s="24">
        <f t="shared" si="28"/>
        <v>5000</v>
      </c>
    </row>
    <row r="632" spans="4:9" ht="12.75">
      <c r="D632" s="5" t="s">
        <v>916</v>
      </c>
      <c r="E632" s="55" t="s">
        <v>882</v>
      </c>
      <c r="F632" s="55"/>
      <c r="G632" s="24">
        <v>5000</v>
      </c>
      <c r="H632" s="24">
        <v>0</v>
      </c>
      <c r="I632" s="24">
        <f t="shared" si="28"/>
        <v>5000</v>
      </c>
    </row>
    <row r="633" spans="4:9" ht="12.75">
      <c r="D633" s="5" t="s">
        <v>923</v>
      </c>
      <c r="E633" s="55" t="s">
        <v>883</v>
      </c>
      <c r="F633" s="55"/>
      <c r="G633" s="24">
        <v>5000</v>
      </c>
      <c r="H633" s="24">
        <v>0</v>
      </c>
      <c r="I633" s="24">
        <f t="shared" si="28"/>
        <v>5000</v>
      </c>
    </row>
    <row r="634" spans="4:9" ht="13.5" thickBot="1">
      <c r="D634" s="5" t="s">
        <v>925</v>
      </c>
      <c r="E634" s="55" t="s">
        <v>884</v>
      </c>
      <c r="F634" s="55"/>
      <c r="G634" s="24">
        <v>10000</v>
      </c>
      <c r="H634" s="24">
        <v>0</v>
      </c>
      <c r="I634" s="24">
        <f t="shared" si="28"/>
        <v>10000</v>
      </c>
    </row>
    <row r="635" spans="5:9" ht="12.75">
      <c r="E635" s="58" t="s">
        <v>352</v>
      </c>
      <c r="F635" s="58"/>
      <c r="G635" s="25"/>
      <c r="H635" s="25"/>
      <c r="I635" s="25"/>
    </row>
    <row r="636" spans="4:9" ht="13.5" thickBot="1">
      <c r="D636" s="5" t="s">
        <v>772</v>
      </c>
      <c r="E636" s="55" t="s">
        <v>773</v>
      </c>
      <c r="F636" s="55"/>
      <c r="G636" s="24">
        <f>SUM(G625:G635)</f>
        <v>9729000</v>
      </c>
      <c r="I636" s="24">
        <f>G636+H636</f>
        <v>9729000</v>
      </c>
    </row>
    <row r="637" spans="5:9" ht="13.5" thickBot="1">
      <c r="E637" s="56" t="s">
        <v>353</v>
      </c>
      <c r="F637" s="56"/>
      <c r="G637" s="26">
        <f>SUM(G636:G636)</f>
        <v>9729000</v>
      </c>
      <c r="H637" s="26">
        <f>SUM(H636:H636)</f>
        <v>0</v>
      </c>
      <c r="I637" s="26">
        <f>G637+H637</f>
        <v>9729000</v>
      </c>
    </row>
    <row r="638" spans="5:9" ht="12.75">
      <c r="E638" s="58" t="s">
        <v>984</v>
      </c>
      <c r="F638" s="58"/>
      <c r="G638" s="25"/>
      <c r="H638" s="25"/>
      <c r="I638" s="25"/>
    </row>
    <row r="639" spans="4:9" ht="13.5" thickBot="1">
      <c r="D639" s="5" t="s">
        <v>772</v>
      </c>
      <c r="E639" s="55" t="s">
        <v>773</v>
      </c>
      <c r="F639" s="55"/>
      <c r="G639" s="24">
        <f>+G636</f>
        <v>9729000</v>
      </c>
      <c r="H639" s="24">
        <v>0</v>
      </c>
      <c r="I639" s="24">
        <f>G639+H639</f>
        <v>9729000</v>
      </c>
    </row>
    <row r="640" spans="5:9" ht="13.5" thickBot="1">
      <c r="E640" s="56" t="s">
        <v>985</v>
      </c>
      <c r="F640" s="56"/>
      <c r="G640" s="26">
        <f>SUM(G639:G639)</f>
        <v>9729000</v>
      </c>
      <c r="H640" s="26">
        <f>SUM(H639:H639)</f>
        <v>0</v>
      </c>
      <c r="I640" s="26">
        <f>G640+H640</f>
        <v>9729000</v>
      </c>
    </row>
    <row r="642" spans="1:6" ht="12.75">
      <c r="A642" s="8" t="s">
        <v>456</v>
      </c>
      <c r="B642" s="9" t="s">
        <v>766</v>
      </c>
      <c r="C642" s="8"/>
      <c r="D642" s="9"/>
      <c r="E642" s="57" t="s">
        <v>457</v>
      </c>
      <c r="F642" s="57"/>
    </row>
    <row r="643" spans="1:6" ht="28.5" customHeight="1">
      <c r="A643" s="8"/>
      <c r="B643" s="9"/>
      <c r="C643" s="8" t="s">
        <v>767</v>
      </c>
      <c r="D643" s="9"/>
      <c r="E643" s="57" t="s">
        <v>768</v>
      </c>
      <c r="F643" s="57"/>
    </row>
    <row r="644" spans="4:9" ht="12.75">
      <c r="D644" s="5" t="s">
        <v>911</v>
      </c>
      <c r="E644" s="55" t="s">
        <v>199</v>
      </c>
      <c r="F644" s="55"/>
      <c r="G644" s="24">
        <v>1135000</v>
      </c>
      <c r="H644" s="24">
        <v>0</v>
      </c>
      <c r="I644" s="24">
        <f aca="true" t="shared" si="29" ref="I644:I653">G644+H644</f>
        <v>1135000</v>
      </c>
    </row>
    <row r="645" spans="4:9" ht="12.75">
      <c r="D645" s="5" t="s">
        <v>912</v>
      </c>
      <c r="E645" s="55" t="s">
        <v>877</v>
      </c>
      <c r="F645" s="55"/>
      <c r="G645" s="24">
        <v>203000</v>
      </c>
      <c r="H645" s="24">
        <v>0</v>
      </c>
      <c r="I645" s="24">
        <f t="shared" si="29"/>
        <v>203000</v>
      </c>
    </row>
    <row r="646" spans="4:9" ht="12.75">
      <c r="D646" s="5" t="s">
        <v>921</v>
      </c>
      <c r="E646" s="55" t="s">
        <v>880</v>
      </c>
      <c r="F646" s="55"/>
      <c r="G646" s="24">
        <v>11000</v>
      </c>
      <c r="H646" s="24">
        <v>0</v>
      </c>
      <c r="I646" s="24">
        <f t="shared" si="29"/>
        <v>11000</v>
      </c>
    </row>
    <row r="647" spans="4:9" ht="12.75">
      <c r="D647" s="5" t="s">
        <v>919</v>
      </c>
      <c r="E647" s="55" t="s">
        <v>200</v>
      </c>
      <c r="F647" s="55"/>
      <c r="G647" s="24">
        <v>27000</v>
      </c>
      <c r="H647" s="24">
        <v>0</v>
      </c>
      <c r="I647" s="24">
        <f t="shared" si="29"/>
        <v>27000</v>
      </c>
    </row>
    <row r="648" spans="4:9" ht="12.75">
      <c r="D648" s="5" t="s">
        <v>913</v>
      </c>
      <c r="E648" s="55" t="s">
        <v>881</v>
      </c>
      <c r="F648" s="55"/>
      <c r="G648" s="24">
        <v>50000</v>
      </c>
      <c r="H648" s="24">
        <v>0</v>
      </c>
      <c r="I648" s="24">
        <f t="shared" si="29"/>
        <v>50000</v>
      </c>
    </row>
    <row r="649" spans="4:9" ht="12.75">
      <c r="D649" s="5" t="s">
        <v>915</v>
      </c>
      <c r="E649" s="55" t="s">
        <v>879</v>
      </c>
      <c r="F649" s="55"/>
      <c r="G649" s="24">
        <v>20000</v>
      </c>
      <c r="H649" s="24">
        <v>0</v>
      </c>
      <c r="I649" s="24">
        <f t="shared" si="29"/>
        <v>20000</v>
      </c>
    </row>
    <row r="650" spans="4:9" ht="12.75">
      <c r="D650" s="5" t="s">
        <v>916</v>
      </c>
      <c r="E650" s="55" t="s">
        <v>882</v>
      </c>
      <c r="F650" s="55"/>
      <c r="G650" s="24">
        <v>30000</v>
      </c>
      <c r="H650" s="24">
        <v>0</v>
      </c>
      <c r="I650" s="24">
        <f t="shared" si="29"/>
        <v>30000</v>
      </c>
    </row>
    <row r="651" spans="4:9" ht="12.75">
      <c r="D651" s="5" t="s">
        <v>923</v>
      </c>
      <c r="E651" s="55" t="s">
        <v>883</v>
      </c>
      <c r="F651" s="55"/>
      <c r="G651" s="24">
        <v>16000</v>
      </c>
      <c r="H651" s="24">
        <v>0</v>
      </c>
      <c r="I651" s="24">
        <f t="shared" si="29"/>
        <v>16000</v>
      </c>
    </row>
    <row r="652" spans="4:9" ht="12.75">
      <c r="D652" s="5" t="s">
        <v>925</v>
      </c>
      <c r="E652" s="55" t="s">
        <v>884</v>
      </c>
      <c r="F652" s="55"/>
      <c r="G652" s="24">
        <v>20000</v>
      </c>
      <c r="H652" s="24">
        <v>0</v>
      </c>
      <c r="I652" s="24">
        <f t="shared" si="29"/>
        <v>20000</v>
      </c>
    </row>
    <row r="653" spans="4:9" ht="13.5" thickBot="1">
      <c r="D653" s="5" t="s">
        <v>754</v>
      </c>
      <c r="E653" s="55" t="s">
        <v>212</v>
      </c>
      <c r="F653" s="55"/>
      <c r="G653" s="24">
        <v>6000</v>
      </c>
      <c r="H653" s="24">
        <v>0</v>
      </c>
      <c r="I653" s="24">
        <f t="shared" si="29"/>
        <v>6000</v>
      </c>
    </row>
    <row r="654" spans="5:9" ht="12.75">
      <c r="E654" s="58" t="s">
        <v>342</v>
      </c>
      <c r="F654" s="58"/>
      <c r="G654" s="25"/>
      <c r="H654" s="25"/>
      <c r="I654" s="25"/>
    </row>
    <row r="655" spans="4:9" ht="13.5" thickBot="1">
      <c r="D655" s="5" t="s">
        <v>772</v>
      </c>
      <c r="E655" s="55" t="s">
        <v>773</v>
      </c>
      <c r="F655" s="55"/>
      <c r="G655" s="24">
        <f>SUM(G644:G654)</f>
        <v>1518000</v>
      </c>
      <c r="I655" s="24">
        <f>G655+H655</f>
        <v>1518000</v>
      </c>
    </row>
    <row r="656" spans="5:9" ht="13.5" thickBot="1">
      <c r="E656" s="56" t="s">
        <v>343</v>
      </c>
      <c r="F656" s="56"/>
      <c r="G656" s="26">
        <f>SUM(G655:G655)</f>
        <v>1518000</v>
      </c>
      <c r="H656" s="26">
        <f>SUM(H655:H655)</f>
        <v>0</v>
      </c>
      <c r="I656" s="26">
        <f>G656+H656</f>
        <v>1518000</v>
      </c>
    </row>
    <row r="657" spans="5:9" ht="12.75">
      <c r="E657" s="58" t="s">
        <v>986</v>
      </c>
      <c r="F657" s="58"/>
      <c r="G657" s="25"/>
      <c r="H657" s="25"/>
      <c r="I657" s="25"/>
    </row>
    <row r="658" spans="4:9" ht="13.5" thickBot="1">
      <c r="D658" s="5" t="s">
        <v>772</v>
      </c>
      <c r="E658" s="55" t="s">
        <v>773</v>
      </c>
      <c r="F658" s="55"/>
      <c r="G658" s="24">
        <f>+G655</f>
        <v>1518000</v>
      </c>
      <c r="H658" s="24">
        <v>0</v>
      </c>
      <c r="I658" s="24">
        <f>G658+H658</f>
        <v>1518000</v>
      </c>
    </row>
    <row r="659" spans="5:9" ht="13.5" thickBot="1">
      <c r="E659" s="56" t="s">
        <v>987</v>
      </c>
      <c r="F659" s="56"/>
      <c r="G659" s="26">
        <f>SUM(G658:G658)</f>
        <v>1518000</v>
      </c>
      <c r="H659" s="26">
        <f>SUM(H658:H658)</f>
        <v>0</v>
      </c>
      <c r="I659" s="26">
        <f>G659+H659</f>
        <v>1518000</v>
      </c>
    </row>
    <row r="661" spans="1:6" ht="12.75">
      <c r="A661" s="8">
        <v>8</v>
      </c>
      <c r="B661" s="9" t="s">
        <v>766</v>
      </c>
      <c r="C661" s="8"/>
      <c r="D661" s="9"/>
      <c r="E661" s="57" t="s">
        <v>957</v>
      </c>
      <c r="F661" s="57"/>
    </row>
    <row r="662" spans="1:6" ht="27.75" customHeight="1">
      <c r="A662" s="8"/>
      <c r="B662" s="9"/>
      <c r="C662" s="8" t="s">
        <v>767</v>
      </c>
      <c r="D662" s="9"/>
      <c r="E662" s="57" t="s">
        <v>768</v>
      </c>
      <c r="F662" s="57"/>
    </row>
    <row r="663" spans="4:9" ht="12.75">
      <c r="D663" s="5" t="s">
        <v>911</v>
      </c>
      <c r="E663" s="55" t="s">
        <v>199</v>
      </c>
      <c r="F663" s="55"/>
      <c r="G663" s="24">
        <v>263794000</v>
      </c>
      <c r="H663" s="24">
        <v>0</v>
      </c>
      <c r="I663" s="24">
        <f aca="true" t="shared" si="30" ref="I663:I675">G663+H663</f>
        <v>263794000</v>
      </c>
    </row>
    <row r="664" spans="4:9" ht="12.75">
      <c r="D664" s="5" t="s">
        <v>912</v>
      </c>
      <c r="E664" s="55" t="s">
        <v>877</v>
      </c>
      <c r="F664" s="55"/>
      <c r="G664" s="24">
        <v>117417000</v>
      </c>
      <c r="H664" s="24">
        <v>0</v>
      </c>
      <c r="I664" s="24">
        <f t="shared" si="30"/>
        <v>117417000</v>
      </c>
    </row>
    <row r="665" spans="4:9" ht="12.75">
      <c r="D665" s="5" t="s">
        <v>921</v>
      </c>
      <c r="E665" s="55" t="s">
        <v>880</v>
      </c>
      <c r="F665" s="55"/>
      <c r="G665" s="24">
        <v>1282000</v>
      </c>
      <c r="H665" s="24">
        <v>0</v>
      </c>
      <c r="I665" s="24">
        <f t="shared" si="30"/>
        <v>1282000</v>
      </c>
    </row>
    <row r="666" spans="4:9" ht="12.75">
      <c r="D666" s="5" t="s">
        <v>919</v>
      </c>
      <c r="E666" s="55" t="s">
        <v>200</v>
      </c>
      <c r="F666" s="55"/>
      <c r="G666" s="24">
        <v>5000000</v>
      </c>
      <c r="H666" s="24">
        <v>0</v>
      </c>
      <c r="I666" s="24">
        <f t="shared" si="30"/>
        <v>5000000</v>
      </c>
    </row>
    <row r="667" spans="4:9" ht="12.75">
      <c r="D667" s="5" t="s">
        <v>922</v>
      </c>
      <c r="E667" s="55" t="s">
        <v>201</v>
      </c>
      <c r="F667" s="55"/>
      <c r="G667" s="24">
        <v>0</v>
      </c>
      <c r="H667" s="24">
        <v>1782236.51</v>
      </c>
      <c r="I667" s="24">
        <f t="shared" si="30"/>
        <v>1782236.51</v>
      </c>
    </row>
    <row r="668" spans="4:9" ht="12.75">
      <c r="D668" s="5" t="s">
        <v>913</v>
      </c>
      <c r="E668" s="55" t="s">
        <v>881</v>
      </c>
      <c r="F668" s="55"/>
      <c r="G668" s="24">
        <v>29500000</v>
      </c>
      <c r="H668" s="24">
        <v>4972334.13</v>
      </c>
      <c r="I668" s="24">
        <f t="shared" si="30"/>
        <v>34472334.13</v>
      </c>
    </row>
    <row r="669" spans="4:9" ht="12.75">
      <c r="D669" s="5" t="s">
        <v>915</v>
      </c>
      <c r="E669" s="55" t="s">
        <v>879</v>
      </c>
      <c r="F669" s="55"/>
      <c r="G669" s="24">
        <v>68680000</v>
      </c>
      <c r="H669" s="24">
        <v>5415852.08</v>
      </c>
      <c r="I669" s="24">
        <f t="shared" si="30"/>
        <v>74095852.08</v>
      </c>
    </row>
    <row r="670" spans="4:9" ht="12.75">
      <c r="D670" s="5" t="s">
        <v>916</v>
      </c>
      <c r="E670" s="55" t="s">
        <v>882</v>
      </c>
      <c r="F670" s="55"/>
      <c r="G670" s="24">
        <v>21288000</v>
      </c>
      <c r="H670" s="24">
        <v>403552.75</v>
      </c>
      <c r="I670" s="24">
        <f t="shared" si="30"/>
        <v>21691552.75</v>
      </c>
    </row>
    <row r="671" spans="4:9" ht="12.75">
      <c r="D671" s="5" t="s">
        <v>923</v>
      </c>
      <c r="E671" s="55" t="s">
        <v>883</v>
      </c>
      <c r="F671" s="55"/>
      <c r="G671" s="24">
        <v>2320000</v>
      </c>
      <c r="H671" s="24">
        <v>0</v>
      </c>
      <c r="I671" s="24">
        <f t="shared" si="30"/>
        <v>2320000</v>
      </c>
    </row>
    <row r="672" spans="4:9" ht="12.75">
      <c r="D672" s="5" t="s">
        <v>924</v>
      </c>
      <c r="E672" s="55" t="s">
        <v>203</v>
      </c>
      <c r="F672" s="55"/>
      <c r="G672" s="24">
        <v>1899000</v>
      </c>
      <c r="H672" s="24">
        <v>0</v>
      </c>
      <c r="I672" s="24">
        <f t="shared" si="30"/>
        <v>1899000</v>
      </c>
    </row>
    <row r="673" spans="4:9" ht="12.75">
      <c r="D673" s="5" t="s">
        <v>925</v>
      </c>
      <c r="E673" s="55" t="s">
        <v>884</v>
      </c>
      <c r="F673" s="55"/>
      <c r="G673" s="24">
        <v>11000000</v>
      </c>
      <c r="H673" s="24">
        <v>0</v>
      </c>
      <c r="I673" s="24">
        <f t="shared" si="30"/>
        <v>11000000</v>
      </c>
    </row>
    <row r="674" spans="4:9" ht="12.75">
      <c r="D674" s="5" t="s">
        <v>929</v>
      </c>
      <c r="E674" s="55" t="s">
        <v>208</v>
      </c>
      <c r="F674" s="55"/>
      <c r="G674" s="24">
        <f>226000000-79000000</f>
        <v>147000000</v>
      </c>
      <c r="H674" s="24">
        <v>0</v>
      </c>
      <c r="I674" s="24">
        <f t="shared" si="30"/>
        <v>147000000</v>
      </c>
    </row>
    <row r="675" spans="4:9" ht="12.75">
      <c r="D675" s="5" t="s">
        <v>753</v>
      </c>
      <c r="E675" s="55" t="s">
        <v>211</v>
      </c>
      <c r="F675" s="55"/>
      <c r="G675" s="24">
        <v>6000000</v>
      </c>
      <c r="H675" s="24">
        <v>0</v>
      </c>
      <c r="I675" s="24">
        <f t="shared" si="30"/>
        <v>6000000</v>
      </c>
    </row>
    <row r="676" spans="5:6" ht="27" customHeight="1">
      <c r="E676" s="55" t="s">
        <v>268</v>
      </c>
      <c r="F676" s="55"/>
    </row>
    <row r="677" spans="4:9" ht="12.75">
      <c r="D677" s="5" t="s">
        <v>754</v>
      </c>
      <c r="E677" s="55" t="s">
        <v>212</v>
      </c>
      <c r="F677" s="55"/>
      <c r="G677" s="24">
        <v>520000</v>
      </c>
      <c r="H677" s="24">
        <v>0</v>
      </c>
      <c r="I677" s="24">
        <f>G677+H677</f>
        <v>520000</v>
      </c>
    </row>
    <row r="678" spans="4:9" ht="12.75">
      <c r="D678" s="5" t="s">
        <v>926</v>
      </c>
      <c r="E678" s="55" t="s">
        <v>885</v>
      </c>
      <c r="F678" s="55"/>
      <c r="G678" s="24">
        <v>7072000</v>
      </c>
      <c r="H678" s="24">
        <v>0</v>
      </c>
      <c r="I678" s="24">
        <f>G678+H678</f>
        <v>7072000</v>
      </c>
    </row>
    <row r="679" spans="4:9" ht="12.75">
      <c r="D679" s="5" t="s">
        <v>927</v>
      </c>
      <c r="E679" s="55" t="s">
        <v>886</v>
      </c>
      <c r="F679" s="55"/>
      <c r="G679" s="24">
        <v>2518000</v>
      </c>
      <c r="H679" s="24">
        <v>0</v>
      </c>
      <c r="I679" s="24">
        <f>G679+H679</f>
        <v>2518000</v>
      </c>
    </row>
    <row r="680" spans="4:9" ht="13.5" thickBot="1">
      <c r="D680" s="5" t="s">
        <v>214</v>
      </c>
      <c r="E680" s="55" t="s">
        <v>215</v>
      </c>
      <c r="F680" s="55"/>
      <c r="G680" s="24">
        <v>100000</v>
      </c>
      <c r="H680" s="24">
        <v>0</v>
      </c>
      <c r="I680" s="24">
        <f>G680+H680</f>
        <v>100000</v>
      </c>
    </row>
    <row r="681" spans="5:9" ht="12.75">
      <c r="E681" s="58" t="s">
        <v>342</v>
      </c>
      <c r="F681" s="58"/>
      <c r="G681" s="25"/>
      <c r="H681" s="25"/>
      <c r="I681" s="25"/>
    </row>
    <row r="682" spans="4:9" ht="12.75">
      <c r="D682" s="5" t="s">
        <v>772</v>
      </c>
      <c r="E682" s="55" t="s">
        <v>773</v>
      </c>
      <c r="F682" s="55"/>
      <c r="G682" s="24">
        <f>SUM(G663:G681)</f>
        <v>685390000</v>
      </c>
      <c r="I682" s="24">
        <f>G682+H682</f>
        <v>685390000</v>
      </c>
    </row>
    <row r="683" spans="4:9" ht="13.5" thickBot="1">
      <c r="D683" s="5" t="s">
        <v>784</v>
      </c>
      <c r="E683" s="55" t="s">
        <v>785</v>
      </c>
      <c r="F683" s="55"/>
      <c r="H683" s="24">
        <f>SUM(H665:H682)</f>
        <v>12573975.469999999</v>
      </c>
      <c r="I683" s="24">
        <f>G683+H683</f>
        <v>12573975.469999999</v>
      </c>
    </row>
    <row r="684" spans="5:9" ht="13.5" thickBot="1">
      <c r="E684" s="56" t="s">
        <v>343</v>
      </c>
      <c r="F684" s="56"/>
      <c r="G684" s="26">
        <f>SUM(G682:G683)</f>
        <v>685390000</v>
      </c>
      <c r="H684" s="26">
        <f>SUM(H682:H683)</f>
        <v>12573975.469999999</v>
      </c>
      <c r="I684" s="26">
        <f>G684+H684</f>
        <v>697963975.47</v>
      </c>
    </row>
    <row r="685" spans="5:9" ht="12.75">
      <c r="E685" s="58" t="s">
        <v>344</v>
      </c>
      <c r="F685" s="58"/>
      <c r="G685" s="25"/>
      <c r="H685" s="25"/>
      <c r="I685" s="25"/>
    </row>
    <row r="686" spans="4:9" ht="12.75">
      <c r="D686" s="5" t="s">
        <v>772</v>
      </c>
      <c r="E686" s="55" t="s">
        <v>773</v>
      </c>
      <c r="F686" s="55"/>
      <c r="G686" s="24">
        <f>+G682</f>
        <v>685390000</v>
      </c>
      <c r="H686" s="24">
        <v>0</v>
      </c>
      <c r="I686" s="24">
        <f>G686+H686</f>
        <v>685390000</v>
      </c>
    </row>
    <row r="687" spans="4:9" ht="13.5" thickBot="1">
      <c r="D687" s="5" t="s">
        <v>784</v>
      </c>
      <c r="E687" s="55" t="s">
        <v>785</v>
      </c>
      <c r="F687" s="55"/>
      <c r="G687" s="24">
        <v>0</v>
      </c>
      <c r="H687" s="24">
        <f>+H683</f>
        <v>12573975.469999999</v>
      </c>
      <c r="I687" s="24">
        <f>G687+H687</f>
        <v>12573975.469999999</v>
      </c>
    </row>
    <row r="688" spans="5:9" ht="13.5" thickBot="1">
      <c r="E688" s="56" t="s">
        <v>345</v>
      </c>
      <c r="F688" s="56"/>
      <c r="G688" s="26">
        <f>SUM(G686:G687)</f>
        <v>685390000</v>
      </c>
      <c r="H688" s="26">
        <f>SUM(H686:H687)</f>
        <v>12573975.469999999</v>
      </c>
      <c r="I688" s="26">
        <f>G688+H688</f>
        <v>697963975.47</v>
      </c>
    </row>
    <row r="690" spans="1:6" ht="12.75">
      <c r="A690" s="8" t="s">
        <v>766</v>
      </c>
      <c r="B690" s="9">
        <v>8.1</v>
      </c>
      <c r="C690" s="8"/>
      <c r="D690" s="9"/>
      <c r="E690" s="57" t="s">
        <v>127</v>
      </c>
      <c r="F690" s="57"/>
    </row>
    <row r="691" spans="1:6" ht="12.75">
      <c r="A691" s="8"/>
      <c r="B691" s="9"/>
      <c r="C691" s="8" t="s">
        <v>909</v>
      </c>
      <c r="D691" s="9"/>
      <c r="E691" s="57" t="s">
        <v>910</v>
      </c>
      <c r="F691" s="57"/>
    </row>
    <row r="692" spans="4:9" ht="12.75">
      <c r="D692" s="5" t="s">
        <v>911</v>
      </c>
      <c r="E692" s="55" t="s">
        <v>199</v>
      </c>
      <c r="F692" s="55"/>
      <c r="G692" s="24">
        <v>830702000</v>
      </c>
      <c r="H692" s="24">
        <v>0</v>
      </c>
      <c r="I692" s="24">
        <f aca="true" t="shared" si="31" ref="I692:I702">G692+H692</f>
        <v>830702000</v>
      </c>
    </row>
    <row r="693" spans="4:9" ht="12.75">
      <c r="D693" s="5" t="s">
        <v>921</v>
      </c>
      <c r="E693" s="55" t="s">
        <v>880</v>
      </c>
      <c r="F693" s="55"/>
      <c r="G693" s="24">
        <v>5690000</v>
      </c>
      <c r="H693" s="24">
        <v>0</v>
      </c>
      <c r="I693" s="24">
        <f t="shared" si="31"/>
        <v>5690000</v>
      </c>
    </row>
    <row r="694" spans="4:9" ht="12.75">
      <c r="D694" s="5" t="s">
        <v>913</v>
      </c>
      <c r="E694" s="55" t="s">
        <v>881</v>
      </c>
      <c r="F694" s="55"/>
      <c r="G694" s="24">
        <f>249617000+5000000+79000000</f>
        <v>333617000</v>
      </c>
      <c r="H694" s="24">
        <v>0</v>
      </c>
      <c r="I694" s="24">
        <f t="shared" si="31"/>
        <v>333617000</v>
      </c>
    </row>
    <row r="695" spans="4:9" ht="12.75">
      <c r="D695" s="5" t="s">
        <v>915</v>
      </c>
      <c r="E695" s="55" t="s">
        <v>879</v>
      </c>
      <c r="F695" s="55"/>
      <c r="G695" s="24">
        <v>12714000</v>
      </c>
      <c r="H695" s="24">
        <v>0</v>
      </c>
      <c r="I695" s="24">
        <f t="shared" si="31"/>
        <v>12714000</v>
      </c>
    </row>
    <row r="696" spans="4:9" ht="12.75">
      <c r="D696" s="5" t="s">
        <v>916</v>
      </c>
      <c r="E696" s="55" t="s">
        <v>882</v>
      </c>
      <c r="F696" s="55"/>
      <c r="G696" s="24">
        <v>84080000</v>
      </c>
      <c r="H696" s="24">
        <v>0</v>
      </c>
      <c r="I696" s="24">
        <f t="shared" si="31"/>
        <v>84080000</v>
      </c>
    </row>
    <row r="697" spans="4:9" ht="12.75">
      <c r="D697" s="5" t="s">
        <v>923</v>
      </c>
      <c r="E697" s="55" t="s">
        <v>883</v>
      </c>
      <c r="F697" s="55"/>
      <c r="G697" s="24">
        <f>460000+10000000</f>
        <v>10460000</v>
      </c>
      <c r="H697" s="24">
        <v>0</v>
      </c>
      <c r="I697" s="24">
        <f t="shared" si="31"/>
        <v>10460000</v>
      </c>
    </row>
    <row r="698" spans="4:9" ht="12.75">
      <c r="D698" s="5" t="s">
        <v>924</v>
      </c>
      <c r="E698" s="55" t="s">
        <v>203</v>
      </c>
      <c r="F698" s="55"/>
      <c r="G698" s="24">
        <v>15500000</v>
      </c>
      <c r="H698" s="24">
        <v>0</v>
      </c>
      <c r="I698" s="24">
        <f t="shared" si="31"/>
        <v>15500000</v>
      </c>
    </row>
    <row r="699" spans="4:9" ht="12.75">
      <c r="D699" s="5" t="s">
        <v>925</v>
      </c>
      <c r="E699" s="55" t="s">
        <v>884</v>
      </c>
      <c r="F699" s="55"/>
      <c r="G699" s="24">
        <f>27000000+16000000</f>
        <v>43000000</v>
      </c>
      <c r="H699" s="24">
        <v>0</v>
      </c>
      <c r="I699" s="24">
        <f t="shared" si="31"/>
        <v>43000000</v>
      </c>
    </row>
    <row r="700" spans="4:9" ht="12.75">
      <c r="D700" s="5" t="s">
        <v>750</v>
      </c>
      <c r="E700" s="55" t="s">
        <v>887</v>
      </c>
      <c r="F700" s="55"/>
      <c r="G700" s="24">
        <v>100000000</v>
      </c>
      <c r="H700" s="24">
        <v>0</v>
      </c>
      <c r="I700" s="24">
        <f t="shared" si="31"/>
        <v>100000000</v>
      </c>
    </row>
    <row r="701" spans="4:9" ht="12.75">
      <c r="D701" s="5" t="s">
        <v>926</v>
      </c>
      <c r="E701" s="55" t="s">
        <v>885</v>
      </c>
      <c r="F701" s="55"/>
      <c r="G701" s="24">
        <v>11500000</v>
      </c>
      <c r="H701" s="24">
        <v>0</v>
      </c>
      <c r="I701" s="24">
        <f t="shared" si="31"/>
        <v>11500000</v>
      </c>
    </row>
    <row r="702" spans="4:9" ht="13.5" thickBot="1">
      <c r="D702" s="5" t="s">
        <v>927</v>
      </c>
      <c r="E702" s="55" t="s">
        <v>886</v>
      </c>
      <c r="F702" s="55"/>
      <c r="G702" s="24">
        <v>6900000</v>
      </c>
      <c r="H702" s="24">
        <v>0</v>
      </c>
      <c r="I702" s="24">
        <f t="shared" si="31"/>
        <v>6900000</v>
      </c>
    </row>
    <row r="703" spans="5:9" ht="12.75">
      <c r="E703" s="58" t="s">
        <v>4</v>
      </c>
      <c r="F703" s="58"/>
      <c r="G703" s="25"/>
      <c r="H703" s="25"/>
      <c r="I703" s="25"/>
    </row>
    <row r="704" spans="4:9" ht="13.5" thickBot="1">
      <c r="D704" s="5" t="s">
        <v>772</v>
      </c>
      <c r="E704" s="55" t="s">
        <v>773</v>
      </c>
      <c r="F704" s="55"/>
      <c r="G704" s="24">
        <f>SUM(G692:G703)</f>
        <v>1454163000</v>
      </c>
      <c r="I704" s="24">
        <f>G704+H704</f>
        <v>1454163000</v>
      </c>
    </row>
    <row r="705" spans="5:9" ht="13.5" thickBot="1">
      <c r="E705" s="56" t="s">
        <v>5</v>
      </c>
      <c r="F705" s="56"/>
      <c r="G705" s="26">
        <f>SUM(G704:G704)</f>
        <v>1454163000</v>
      </c>
      <c r="H705" s="26">
        <f>SUM(H704:H704)</f>
        <v>0</v>
      </c>
      <c r="I705" s="26">
        <f>G705+H705</f>
        <v>1454163000</v>
      </c>
    </row>
    <row r="706" spans="5:9" ht="12.75">
      <c r="E706" s="58" t="s">
        <v>109</v>
      </c>
      <c r="F706" s="58"/>
      <c r="G706" s="25"/>
      <c r="H706" s="25"/>
      <c r="I706" s="25"/>
    </row>
    <row r="707" spans="4:9" ht="13.5" thickBot="1">
      <c r="D707" s="5" t="s">
        <v>772</v>
      </c>
      <c r="E707" s="55" t="s">
        <v>773</v>
      </c>
      <c r="F707" s="55"/>
      <c r="G707" s="24">
        <f>+G704</f>
        <v>1454163000</v>
      </c>
      <c r="H707" s="24">
        <v>0</v>
      </c>
      <c r="I707" s="24">
        <f>G707+H707</f>
        <v>1454163000</v>
      </c>
    </row>
    <row r="708" spans="5:9" ht="13.5" thickBot="1">
      <c r="E708" s="56" t="s">
        <v>110</v>
      </c>
      <c r="F708" s="56"/>
      <c r="G708" s="26">
        <f>SUM(G707:G707)</f>
        <v>1454163000</v>
      </c>
      <c r="H708" s="26">
        <f>SUM(H707:H707)</f>
        <v>0</v>
      </c>
      <c r="I708" s="26">
        <f>G708+H708</f>
        <v>1454163000</v>
      </c>
    </row>
    <row r="709" spans="5:9" ht="12.75">
      <c r="E709" s="58" t="s">
        <v>2</v>
      </c>
      <c r="F709" s="58"/>
      <c r="G709" s="25"/>
      <c r="H709" s="25"/>
      <c r="I709" s="25"/>
    </row>
    <row r="710" spans="4:9" ht="12.75">
      <c r="D710" s="5" t="s">
        <v>772</v>
      </c>
      <c r="E710" s="55" t="s">
        <v>773</v>
      </c>
      <c r="F710" s="55"/>
      <c r="G710" s="24">
        <f>+G707+G686</f>
        <v>2139553000</v>
      </c>
      <c r="H710" s="24">
        <v>0</v>
      </c>
      <c r="I710" s="24">
        <f>G710+H710</f>
        <v>2139553000</v>
      </c>
    </row>
    <row r="711" spans="4:9" ht="13.5" thickBot="1">
      <c r="D711" s="5" t="s">
        <v>784</v>
      </c>
      <c r="E711" s="55" t="s">
        <v>785</v>
      </c>
      <c r="F711" s="55"/>
      <c r="G711" s="24">
        <v>0</v>
      </c>
      <c r="H711" s="24">
        <f>+H687</f>
        <v>12573975.469999999</v>
      </c>
      <c r="I711" s="24">
        <f>G711+H711</f>
        <v>12573975.469999999</v>
      </c>
    </row>
    <row r="712" spans="5:9" ht="13.5" thickBot="1">
      <c r="E712" s="56" t="s">
        <v>3</v>
      </c>
      <c r="F712" s="56"/>
      <c r="G712" s="26">
        <f>SUM(G710:G711)</f>
        <v>2139553000</v>
      </c>
      <c r="H712" s="26">
        <f>SUM(H710:H711)</f>
        <v>12573975.469999999</v>
      </c>
      <c r="I712" s="26">
        <f>G712+H712</f>
        <v>2152126975.47</v>
      </c>
    </row>
    <row r="713" ht="7.5" customHeight="1"/>
    <row r="714" spans="1:6" ht="12.75">
      <c r="A714" s="8">
        <v>9</v>
      </c>
      <c r="B714" s="9" t="s">
        <v>766</v>
      </c>
      <c r="C714" s="8"/>
      <c r="D714" s="9"/>
      <c r="E714" s="57" t="s">
        <v>959</v>
      </c>
      <c r="F714" s="57"/>
    </row>
    <row r="715" spans="1:6" ht="12.75">
      <c r="A715" s="8"/>
      <c r="B715" s="9"/>
      <c r="C715" s="8" t="s">
        <v>867</v>
      </c>
      <c r="D715" s="9"/>
      <c r="E715" s="57" t="s">
        <v>868</v>
      </c>
      <c r="F715" s="57"/>
    </row>
    <row r="716" spans="4:9" ht="12.75">
      <c r="D716" s="5" t="s">
        <v>911</v>
      </c>
      <c r="E716" s="55" t="s">
        <v>199</v>
      </c>
      <c r="F716" s="55"/>
      <c r="G716" s="24">
        <v>7439874000</v>
      </c>
      <c r="H716" s="24">
        <v>187000000</v>
      </c>
      <c r="I716" s="24">
        <f aca="true" t="shared" si="32" ref="I716:I733">G716+H716</f>
        <v>7626874000</v>
      </c>
    </row>
    <row r="717" spans="4:9" ht="12.75">
      <c r="D717" s="5" t="s">
        <v>912</v>
      </c>
      <c r="E717" s="55" t="s">
        <v>877</v>
      </c>
      <c r="F717" s="55"/>
      <c r="G717" s="24">
        <v>1467311000</v>
      </c>
      <c r="H717" s="24">
        <v>22856000</v>
      </c>
      <c r="I717" s="24">
        <f t="shared" si="32"/>
        <v>1490167000</v>
      </c>
    </row>
    <row r="718" spans="4:9" ht="12.75">
      <c r="D718" s="5" t="s">
        <v>918</v>
      </c>
      <c r="E718" s="55" t="s">
        <v>878</v>
      </c>
      <c r="F718" s="55"/>
      <c r="G718" s="24">
        <f>33625000-5625000</f>
        <v>28000000</v>
      </c>
      <c r="H718" s="24">
        <v>1250000</v>
      </c>
      <c r="I718" s="24">
        <f t="shared" si="32"/>
        <v>29250000</v>
      </c>
    </row>
    <row r="719" spans="4:9" ht="12.75">
      <c r="D719" s="5" t="s">
        <v>921</v>
      </c>
      <c r="E719" s="55" t="s">
        <v>880</v>
      </c>
      <c r="F719" s="55"/>
      <c r="G719" s="24">
        <f>426000000-107000</f>
        <v>425893000</v>
      </c>
      <c r="H719" s="24">
        <v>0</v>
      </c>
      <c r="I719" s="24">
        <f t="shared" si="32"/>
        <v>425893000</v>
      </c>
    </row>
    <row r="720" spans="4:9" ht="12.75">
      <c r="D720" s="5" t="s">
        <v>919</v>
      </c>
      <c r="E720" s="55" t="s">
        <v>200</v>
      </c>
      <c r="F720" s="55"/>
      <c r="G720" s="24">
        <f>1150201000-699000</f>
        <v>1149502000</v>
      </c>
      <c r="H720" s="24">
        <v>0</v>
      </c>
      <c r="I720" s="24">
        <f t="shared" si="32"/>
        <v>1149502000</v>
      </c>
    </row>
    <row r="721" spans="4:9" ht="12.75">
      <c r="D721" s="5" t="s">
        <v>922</v>
      </c>
      <c r="E721" s="55" t="s">
        <v>201</v>
      </c>
      <c r="F721" s="55"/>
      <c r="G721" s="24">
        <f>10000000-130000-17000</f>
        <v>9853000</v>
      </c>
      <c r="H721" s="24">
        <v>2400000</v>
      </c>
      <c r="I721" s="24">
        <f t="shared" si="32"/>
        <v>12253000</v>
      </c>
    </row>
    <row r="722" spans="4:9" ht="12.75">
      <c r="D722" s="5" t="s">
        <v>913</v>
      </c>
      <c r="E722" s="55" t="s">
        <v>881</v>
      </c>
      <c r="F722" s="55"/>
      <c r="G722" s="24">
        <f>1010354000-9530000</f>
        <v>1000824000</v>
      </c>
      <c r="H722" s="24">
        <v>344920768</v>
      </c>
      <c r="I722" s="24">
        <f t="shared" si="32"/>
        <v>1345744768</v>
      </c>
    </row>
    <row r="723" spans="4:9" ht="12.75">
      <c r="D723" s="5" t="s">
        <v>915</v>
      </c>
      <c r="E723" s="55" t="s">
        <v>879</v>
      </c>
      <c r="F723" s="55"/>
      <c r="G723" s="24">
        <f>505000000-2320000-8054000</f>
        <v>494626000</v>
      </c>
      <c r="H723" s="24">
        <v>11252152</v>
      </c>
      <c r="I723" s="24">
        <f t="shared" si="32"/>
        <v>505878152</v>
      </c>
    </row>
    <row r="724" spans="4:9" ht="12.75">
      <c r="D724" s="5" t="s">
        <v>916</v>
      </c>
      <c r="E724" s="55" t="s">
        <v>882</v>
      </c>
      <c r="F724" s="55"/>
      <c r="G724" s="24">
        <f>92416000-49000-5663000</f>
        <v>86704000</v>
      </c>
      <c r="H724" s="24">
        <v>26541905</v>
      </c>
      <c r="I724" s="24">
        <f t="shared" si="32"/>
        <v>113245905</v>
      </c>
    </row>
    <row r="725" spans="4:9" ht="12.75">
      <c r="D725" s="5" t="s">
        <v>923</v>
      </c>
      <c r="E725" s="55" t="s">
        <v>883</v>
      </c>
      <c r="F725" s="55"/>
      <c r="G725" s="24">
        <f>19470000-38000-5543000</f>
        <v>13889000</v>
      </c>
      <c r="H725" s="24">
        <f>2770530+37100000</f>
        <v>39870530</v>
      </c>
      <c r="I725" s="24">
        <f t="shared" si="32"/>
        <v>53759530</v>
      </c>
    </row>
    <row r="726" spans="4:9" ht="12.75">
      <c r="D726" s="5" t="s">
        <v>924</v>
      </c>
      <c r="E726" s="55" t="s">
        <v>203</v>
      </c>
      <c r="F726" s="55"/>
      <c r="G726" s="24">
        <f>428000000-17000-1884000</f>
        <v>426099000</v>
      </c>
      <c r="H726" s="24">
        <v>210533332</v>
      </c>
      <c r="I726" s="24">
        <f t="shared" si="32"/>
        <v>636632332</v>
      </c>
    </row>
    <row r="727" spans="4:9" ht="12.75">
      <c r="D727" s="5" t="s">
        <v>925</v>
      </c>
      <c r="E727" s="55" t="s">
        <v>884</v>
      </c>
      <c r="F727" s="55"/>
      <c r="G727" s="24">
        <f>1260000000-162000-1773000</f>
        <v>1258065000</v>
      </c>
      <c r="H727" s="24">
        <v>285669210</v>
      </c>
      <c r="I727" s="24">
        <f t="shared" si="32"/>
        <v>1543734210</v>
      </c>
    </row>
    <row r="728" spans="4:9" ht="12.75">
      <c r="D728" s="5" t="s">
        <v>931</v>
      </c>
      <c r="E728" s="55" t="s">
        <v>210</v>
      </c>
      <c r="F728" s="55"/>
      <c r="G728" s="24">
        <v>8000000000</v>
      </c>
      <c r="H728" s="24">
        <v>725000000</v>
      </c>
      <c r="I728" s="24">
        <f t="shared" si="32"/>
        <v>8725000000</v>
      </c>
    </row>
    <row r="729" spans="4:9" ht="12.75">
      <c r="D729" s="5" t="s">
        <v>750</v>
      </c>
      <c r="E729" s="55" t="s">
        <v>887</v>
      </c>
      <c r="F729" s="55"/>
      <c r="G729" s="24">
        <f>155000000-42000-40000</f>
        <v>154918000</v>
      </c>
      <c r="H729" s="24">
        <v>150000</v>
      </c>
      <c r="I729" s="24">
        <f t="shared" si="32"/>
        <v>155068000</v>
      </c>
    </row>
    <row r="730" spans="4:9" ht="12.75">
      <c r="D730" s="5" t="s">
        <v>754</v>
      </c>
      <c r="E730" s="55" t="s">
        <v>212</v>
      </c>
      <c r="F730" s="55"/>
      <c r="G730" s="24">
        <f>4264000-860000</f>
        <v>3404000</v>
      </c>
      <c r="H730" s="24">
        <v>350000</v>
      </c>
      <c r="I730" s="24">
        <f t="shared" si="32"/>
        <v>3754000</v>
      </c>
    </row>
    <row r="731" spans="4:9" ht="24.75" customHeight="1">
      <c r="D731" s="5" t="s">
        <v>757</v>
      </c>
      <c r="E731" s="55" t="s">
        <v>888</v>
      </c>
      <c r="F731" s="55"/>
      <c r="G731" s="24">
        <v>825000000</v>
      </c>
      <c r="H731" s="24">
        <v>1000000</v>
      </c>
      <c r="I731" s="24">
        <f t="shared" si="32"/>
        <v>826000000</v>
      </c>
    </row>
    <row r="732" spans="4:9" ht="12.75">
      <c r="D732" s="5" t="s">
        <v>926</v>
      </c>
      <c r="E732" s="55" t="s">
        <v>885</v>
      </c>
      <c r="F732" s="55"/>
      <c r="G732" s="24">
        <v>131262000</v>
      </c>
      <c r="H732" s="24">
        <v>614573167</v>
      </c>
      <c r="I732" s="24">
        <f t="shared" si="32"/>
        <v>745835167</v>
      </c>
    </row>
    <row r="733" spans="4:9" ht="13.5" thickBot="1">
      <c r="D733" s="5" t="s">
        <v>927</v>
      </c>
      <c r="E733" s="55" t="s">
        <v>886</v>
      </c>
      <c r="F733" s="55"/>
      <c r="G733" s="24">
        <f>443570000-26000-11000000</f>
        <v>432544000</v>
      </c>
      <c r="H733" s="24">
        <v>615520077</v>
      </c>
      <c r="I733" s="24">
        <f t="shared" si="32"/>
        <v>1048064077</v>
      </c>
    </row>
    <row r="734" spans="5:9" ht="12.75">
      <c r="E734" s="58" t="s">
        <v>9</v>
      </c>
      <c r="F734" s="58"/>
      <c r="G734" s="25"/>
      <c r="H734" s="25"/>
      <c r="I734" s="25"/>
    </row>
    <row r="735" spans="4:9" ht="12.75">
      <c r="D735" s="5" t="s">
        <v>772</v>
      </c>
      <c r="E735" s="55" t="s">
        <v>773</v>
      </c>
      <c r="F735" s="55"/>
      <c r="G735" s="24">
        <f>SUM(G716:G734)</f>
        <v>23347768000</v>
      </c>
      <c r="I735" s="24">
        <f>G735+H735</f>
        <v>23347768000</v>
      </c>
    </row>
    <row r="736" spans="4:9" ht="12.75">
      <c r="D736" s="5" t="s">
        <v>784</v>
      </c>
      <c r="E736" s="55" t="s">
        <v>785</v>
      </c>
      <c r="F736" s="55"/>
      <c r="H736" s="24">
        <f>1555563000+37100000</f>
        <v>1592663000</v>
      </c>
      <c r="I736" s="24">
        <f>G736+H736</f>
        <v>1592663000</v>
      </c>
    </row>
    <row r="737" spans="4:9" ht="12.75">
      <c r="D737" s="5" t="s">
        <v>786</v>
      </c>
      <c r="E737" s="55" t="s">
        <v>787</v>
      </c>
      <c r="F737" s="55"/>
      <c r="H737" s="24">
        <v>1159750000</v>
      </c>
      <c r="I737" s="24">
        <f>G737+H737</f>
        <v>1159750000</v>
      </c>
    </row>
    <row r="738" spans="4:9" ht="13.5" thickBot="1">
      <c r="D738" s="5" t="s">
        <v>825</v>
      </c>
      <c r="E738" s="55" t="s">
        <v>905</v>
      </c>
      <c r="F738" s="55"/>
      <c r="H738" s="24">
        <v>336474141</v>
      </c>
      <c r="I738" s="24">
        <f>G738+H738</f>
        <v>336474141</v>
      </c>
    </row>
    <row r="739" spans="5:9" ht="13.5" thickBot="1">
      <c r="E739" s="56" t="s">
        <v>10</v>
      </c>
      <c r="F739" s="56"/>
      <c r="G739" s="26">
        <f>SUM(G735:G738)</f>
        <v>23347768000</v>
      </c>
      <c r="H739" s="26">
        <f>SUM(H735:H738)</f>
        <v>3088887141</v>
      </c>
      <c r="I739" s="26">
        <f>G739+H739</f>
        <v>26436655141</v>
      </c>
    </row>
    <row r="740" spans="5:9" ht="12.75">
      <c r="E740" s="58" t="s">
        <v>344</v>
      </c>
      <c r="F740" s="58"/>
      <c r="G740" s="25"/>
      <c r="H740" s="25"/>
      <c r="I740" s="25"/>
    </row>
    <row r="741" spans="4:9" ht="12.75">
      <c r="D741" s="5" t="s">
        <v>772</v>
      </c>
      <c r="E741" s="55" t="s">
        <v>773</v>
      </c>
      <c r="F741" s="55"/>
      <c r="G741" s="24">
        <f>+G735</f>
        <v>23347768000</v>
      </c>
      <c r="I741" s="24">
        <f>G741+H741</f>
        <v>23347768000</v>
      </c>
    </row>
    <row r="742" spans="4:9" ht="12.75">
      <c r="D742" s="5" t="s">
        <v>784</v>
      </c>
      <c r="E742" s="55" t="s">
        <v>785</v>
      </c>
      <c r="F742" s="55"/>
      <c r="H742" s="24">
        <f>+H736</f>
        <v>1592663000</v>
      </c>
      <c r="I742" s="24">
        <f>G742+H742</f>
        <v>1592663000</v>
      </c>
    </row>
    <row r="743" spans="4:9" ht="12.75">
      <c r="D743" s="5" t="s">
        <v>786</v>
      </c>
      <c r="E743" s="55" t="s">
        <v>787</v>
      </c>
      <c r="F743" s="55"/>
      <c r="H743" s="24">
        <f>+H737</f>
        <v>1159750000</v>
      </c>
      <c r="I743" s="24">
        <f>G743+H743</f>
        <v>1159750000</v>
      </c>
    </row>
    <row r="744" spans="4:9" ht="13.5" thickBot="1">
      <c r="D744" s="5" t="s">
        <v>825</v>
      </c>
      <c r="E744" s="62" t="s">
        <v>905</v>
      </c>
      <c r="F744" s="62"/>
      <c r="H744" s="24">
        <f>+H738</f>
        <v>336474141</v>
      </c>
      <c r="I744" s="24">
        <f>G744+H744</f>
        <v>336474141</v>
      </c>
    </row>
    <row r="745" spans="5:9" ht="13.5" thickBot="1">
      <c r="E745" s="56" t="s">
        <v>345</v>
      </c>
      <c r="F745" s="56"/>
      <c r="G745" s="26">
        <f>SUM(G741:G744)</f>
        <v>23347768000</v>
      </c>
      <c r="H745" s="26">
        <f>SUM(H741:H744)</f>
        <v>3088887141</v>
      </c>
      <c r="I745" s="26">
        <f>G745+H745</f>
        <v>26436655141</v>
      </c>
    </row>
    <row r="746" spans="5:9" ht="8.25" customHeight="1">
      <c r="E746" s="12"/>
      <c r="F746" s="12"/>
      <c r="G746" s="29"/>
      <c r="H746" s="29"/>
      <c r="I746" s="29"/>
    </row>
    <row r="747" spans="2:9" s="13" customFormat="1" ht="12.75">
      <c r="B747" s="14" t="s">
        <v>958</v>
      </c>
      <c r="C747" s="15"/>
      <c r="D747" s="15"/>
      <c r="E747" s="15" t="s">
        <v>136</v>
      </c>
      <c r="G747" s="30"/>
      <c r="H747" s="30"/>
      <c r="I747" s="30"/>
    </row>
    <row r="748" spans="2:9" s="13" customFormat="1" ht="12.75">
      <c r="B748" s="20"/>
      <c r="C748" s="16">
        <v>210</v>
      </c>
      <c r="D748" s="15"/>
      <c r="E748" s="15" t="s">
        <v>868</v>
      </c>
      <c r="G748" s="30"/>
      <c r="H748" s="30"/>
      <c r="I748" s="30"/>
    </row>
    <row r="749" spans="2:9" s="13" customFormat="1" ht="12.75">
      <c r="B749" s="21"/>
      <c r="D749" s="22" t="s">
        <v>921</v>
      </c>
      <c r="E749" s="13" t="s">
        <v>880</v>
      </c>
      <c r="G749" s="31">
        <v>107000</v>
      </c>
      <c r="H749" s="31"/>
      <c r="I749" s="31">
        <f aca="true" t="shared" si="33" ref="I749:I757">G749+H749</f>
        <v>107000</v>
      </c>
    </row>
    <row r="750" spans="2:9" s="13" customFormat="1" ht="12.75">
      <c r="B750" s="21"/>
      <c r="D750" s="45">
        <v>415</v>
      </c>
      <c r="E750" s="13" t="s">
        <v>137</v>
      </c>
      <c r="G750" s="31">
        <v>699000</v>
      </c>
      <c r="H750" s="31"/>
      <c r="I750" s="31">
        <f t="shared" si="33"/>
        <v>699000</v>
      </c>
    </row>
    <row r="751" spans="2:9" s="13" customFormat="1" ht="12.75">
      <c r="B751" s="21"/>
      <c r="D751" s="22" t="s">
        <v>922</v>
      </c>
      <c r="E751" s="13" t="s">
        <v>138</v>
      </c>
      <c r="G751" s="31">
        <v>17000</v>
      </c>
      <c r="H751" s="31"/>
      <c r="I751" s="31">
        <f t="shared" si="33"/>
        <v>17000</v>
      </c>
    </row>
    <row r="752" spans="2:9" s="13" customFormat="1" ht="12.75">
      <c r="B752" s="21"/>
      <c r="D752" s="45">
        <v>422</v>
      </c>
      <c r="E752" s="13" t="s">
        <v>879</v>
      </c>
      <c r="G752" s="31">
        <v>2320000</v>
      </c>
      <c r="H752" s="31"/>
      <c r="I752" s="31">
        <f t="shared" si="33"/>
        <v>2320000</v>
      </c>
    </row>
    <row r="753" spans="2:9" s="13" customFormat="1" ht="12.75">
      <c r="B753" s="21"/>
      <c r="D753" s="45">
        <v>423</v>
      </c>
      <c r="E753" s="13" t="s">
        <v>882</v>
      </c>
      <c r="G753" s="31">
        <v>49000</v>
      </c>
      <c r="H753" s="31"/>
      <c r="I753" s="31">
        <f t="shared" si="33"/>
        <v>49000</v>
      </c>
    </row>
    <row r="754" spans="2:9" s="13" customFormat="1" ht="12.75">
      <c r="B754" s="21"/>
      <c r="D754" s="45">
        <v>424</v>
      </c>
      <c r="E754" s="13" t="s">
        <v>883</v>
      </c>
      <c r="G754" s="31">
        <v>38000</v>
      </c>
      <c r="H754" s="31"/>
      <c r="I754" s="31">
        <f t="shared" si="33"/>
        <v>38000</v>
      </c>
    </row>
    <row r="755" spans="2:9" s="13" customFormat="1" ht="12.75">
      <c r="B755" s="21"/>
      <c r="D755" s="45">
        <v>425</v>
      </c>
      <c r="E755" s="13" t="s">
        <v>139</v>
      </c>
      <c r="G755" s="31">
        <v>17000</v>
      </c>
      <c r="H755" s="31"/>
      <c r="I755" s="31">
        <f t="shared" si="33"/>
        <v>17000</v>
      </c>
    </row>
    <row r="756" spans="2:9" s="13" customFormat="1" ht="12.75">
      <c r="B756" s="21"/>
      <c r="D756" s="45">
        <v>426</v>
      </c>
      <c r="E756" s="13" t="s">
        <v>884</v>
      </c>
      <c r="G756" s="31">
        <v>162000</v>
      </c>
      <c r="H756" s="31"/>
      <c r="I756" s="31">
        <f t="shared" si="33"/>
        <v>162000</v>
      </c>
    </row>
    <row r="757" spans="2:9" s="13" customFormat="1" ht="13.5" thickBot="1">
      <c r="B757" s="21"/>
      <c r="D757" s="22" t="s">
        <v>750</v>
      </c>
      <c r="E757" s="13" t="s">
        <v>887</v>
      </c>
      <c r="G757" s="31">
        <v>42000</v>
      </c>
      <c r="H757" s="31"/>
      <c r="I757" s="31">
        <f t="shared" si="33"/>
        <v>42000</v>
      </c>
    </row>
    <row r="758" spans="2:9" s="13" customFormat="1" ht="12.75">
      <c r="B758" s="21"/>
      <c r="E758" s="48" t="s">
        <v>9</v>
      </c>
      <c r="F758" s="49"/>
      <c r="G758" s="50"/>
      <c r="H758" s="50"/>
      <c r="I758" s="51"/>
    </row>
    <row r="759" spans="2:9" s="13" customFormat="1" ht="13.5" thickBot="1">
      <c r="B759" s="21"/>
      <c r="D759" s="46" t="s">
        <v>772</v>
      </c>
      <c r="E759" s="17" t="s">
        <v>773</v>
      </c>
      <c r="F759" s="17"/>
      <c r="G759" s="32">
        <f>SUM(G749:G758)</f>
        <v>3451000</v>
      </c>
      <c r="H759" s="32"/>
      <c r="I759" s="32">
        <f>G759+H759</f>
        <v>3451000</v>
      </c>
    </row>
    <row r="760" spans="2:9" s="13" customFormat="1" ht="13.5" thickBot="1">
      <c r="B760" s="21"/>
      <c r="D760" s="46"/>
      <c r="E760" s="18" t="s">
        <v>10</v>
      </c>
      <c r="F760" s="19"/>
      <c r="G760" s="33">
        <f>G759</f>
        <v>3451000</v>
      </c>
      <c r="H760" s="33"/>
      <c r="I760" s="33">
        <f>I759</f>
        <v>3451000</v>
      </c>
    </row>
    <row r="761" spans="2:9" s="13" customFormat="1" ht="12.75">
      <c r="B761" s="21"/>
      <c r="D761" s="46"/>
      <c r="E761" s="15" t="s">
        <v>6</v>
      </c>
      <c r="G761" s="31"/>
      <c r="H761" s="31"/>
      <c r="I761" s="31"/>
    </row>
    <row r="762" spans="2:9" s="13" customFormat="1" ht="13.5" thickBot="1">
      <c r="B762" s="21"/>
      <c r="D762" s="46" t="s">
        <v>772</v>
      </c>
      <c r="E762" s="17" t="s">
        <v>773</v>
      </c>
      <c r="F762" s="17"/>
      <c r="G762" s="32">
        <f>G759</f>
        <v>3451000</v>
      </c>
      <c r="H762" s="32"/>
      <c r="I762" s="32">
        <f>I759</f>
        <v>3451000</v>
      </c>
    </row>
    <row r="763" spans="2:9" s="13" customFormat="1" ht="13.5" thickBot="1">
      <c r="B763" s="21"/>
      <c r="D763" s="15"/>
      <c r="E763" s="18" t="s">
        <v>473</v>
      </c>
      <c r="F763" s="19"/>
      <c r="G763" s="33">
        <f>G762</f>
        <v>3451000</v>
      </c>
      <c r="H763" s="33"/>
      <c r="I763" s="33">
        <f>I762</f>
        <v>3451000</v>
      </c>
    </row>
    <row r="764" spans="2:9" s="13" customFormat="1" ht="12.75">
      <c r="B764" s="21"/>
      <c r="D764" s="15"/>
      <c r="G764" s="30"/>
      <c r="H764" s="30"/>
      <c r="I764" s="30"/>
    </row>
    <row r="765" spans="2:9" s="13" customFormat="1" ht="12.75">
      <c r="B765" s="14" t="s">
        <v>141</v>
      </c>
      <c r="C765" s="14"/>
      <c r="D765" s="15"/>
      <c r="E765" s="15" t="s">
        <v>140</v>
      </c>
      <c r="G765" s="30"/>
      <c r="H765" s="30"/>
      <c r="I765" s="30"/>
    </row>
    <row r="766" spans="2:9" s="13" customFormat="1" ht="12.75">
      <c r="B766" s="14"/>
      <c r="C766" s="14">
        <v>210</v>
      </c>
      <c r="D766" s="15"/>
      <c r="E766" s="15" t="s">
        <v>868</v>
      </c>
      <c r="G766" s="30"/>
      <c r="H766" s="30"/>
      <c r="I766" s="30"/>
    </row>
    <row r="767" spans="2:9" s="13" customFormat="1" ht="12.75">
      <c r="B767" s="21"/>
      <c r="D767" s="5" t="s">
        <v>922</v>
      </c>
      <c r="E767" s="13" t="s">
        <v>138</v>
      </c>
      <c r="G767" s="31">
        <v>30000</v>
      </c>
      <c r="H767" s="31"/>
      <c r="I767" s="31">
        <f aca="true" t="shared" si="34" ref="I767:I774">G767</f>
        <v>30000</v>
      </c>
    </row>
    <row r="768" spans="2:9" s="13" customFormat="1" ht="12.75">
      <c r="B768" s="21"/>
      <c r="D768" s="45">
        <v>421</v>
      </c>
      <c r="E768" s="13" t="s">
        <v>881</v>
      </c>
      <c r="G768" s="31">
        <v>150000</v>
      </c>
      <c r="H768" s="31"/>
      <c r="I768" s="31">
        <f t="shared" si="34"/>
        <v>150000</v>
      </c>
    </row>
    <row r="769" spans="2:9" s="13" customFormat="1" ht="12.75">
      <c r="B769" s="21"/>
      <c r="D769" s="45">
        <v>422</v>
      </c>
      <c r="E769" s="13" t="s">
        <v>879</v>
      </c>
      <c r="G769" s="31">
        <v>4527000</v>
      </c>
      <c r="H769" s="31"/>
      <c r="I769" s="31">
        <f t="shared" si="34"/>
        <v>4527000</v>
      </c>
    </row>
    <row r="770" spans="2:9" s="13" customFormat="1" ht="12.75">
      <c r="B770" s="21"/>
      <c r="D770" s="45">
        <v>423</v>
      </c>
      <c r="E770" s="13" t="s">
        <v>882</v>
      </c>
      <c r="G770" s="31">
        <v>1390000</v>
      </c>
      <c r="H770" s="31"/>
      <c r="I770" s="31">
        <f t="shared" si="34"/>
        <v>1390000</v>
      </c>
    </row>
    <row r="771" spans="2:9" s="13" customFormat="1" ht="12.75">
      <c r="B771" s="21"/>
      <c r="D771" s="45">
        <v>424</v>
      </c>
      <c r="E771" s="13" t="s">
        <v>883</v>
      </c>
      <c r="G771" s="31">
        <v>3833000</v>
      </c>
      <c r="H771" s="31"/>
      <c r="I771" s="31">
        <f t="shared" si="34"/>
        <v>3833000</v>
      </c>
    </row>
    <row r="772" spans="2:9" s="13" customFormat="1" ht="12.75">
      <c r="B772" s="21"/>
      <c r="D772" s="45">
        <v>425</v>
      </c>
      <c r="E772" s="13" t="s">
        <v>139</v>
      </c>
      <c r="G772" s="31">
        <v>763000</v>
      </c>
      <c r="H772" s="31"/>
      <c r="I772" s="31">
        <f t="shared" si="34"/>
        <v>763000</v>
      </c>
    </row>
    <row r="773" spans="2:9" s="13" customFormat="1" ht="12.75">
      <c r="B773" s="21"/>
      <c r="D773" s="45">
        <v>426</v>
      </c>
      <c r="E773" s="13" t="s">
        <v>884</v>
      </c>
      <c r="G773" s="31">
        <v>1504000</v>
      </c>
      <c r="H773" s="31"/>
      <c r="I773" s="31">
        <f t="shared" si="34"/>
        <v>1504000</v>
      </c>
    </row>
    <row r="774" spans="2:9" s="13" customFormat="1" ht="12.75" customHeight="1" thickBot="1">
      <c r="B774" s="21"/>
      <c r="D774" s="5" t="s">
        <v>754</v>
      </c>
      <c r="E774" s="55" t="s">
        <v>212</v>
      </c>
      <c r="F774" s="55"/>
      <c r="G774" s="31">
        <v>800000</v>
      </c>
      <c r="H774" s="31"/>
      <c r="I774" s="31">
        <f t="shared" si="34"/>
        <v>800000</v>
      </c>
    </row>
    <row r="775" spans="2:9" s="13" customFormat="1" ht="12.75">
      <c r="B775" s="21"/>
      <c r="D775" s="15"/>
      <c r="E775" s="48" t="s">
        <v>9</v>
      </c>
      <c r="F775" s="52"/>
      <c r="G775" s="50"/>
      <c r="H775" s="50"/>
      <c r="I775" s="50"/>
    </row>
    <row r="776" spans="2:9" s="13" customFormat="1" ht="13.5" thickBot="1">
      <c r="B776" s="21"/>
      <c r="D776" s="46" t="s">
        <v>772</v>
      </c>
      <c r="E776" s="17" t="s">
        <v>773</v>
      </c>
      <c r="F776" s="17"/>
      <c r="G776" s="32">
        <f>SUM(G766:G775)</f>
        <v>12997000</v>
      </c>
      <c r="H776" s="32"/>
      <c r="I776" s="32">
        <f>+G776</f>
        <v>12997000</v>
      </c>
    </row>
    <row r="777" spans="2:9" s="13" customFormat="1" ht="13.5" thickBot="1">
      <c r="B777" s="21"/>
      <c r="D777" s="46"/>
      <c r="E777" s="18" t="s">
        <v>10</v>
      </c>
      <c r="F777" s="19"/>
      <c r="G777" s="33">
        <f>G776</f>
        <v>12997000</v>
      </c>
      <c r="H777" s="33"/>
      <c r="I777" s="33">
        <f>I776</f>
        <v>12997000</v>
      </c>
    </row>
    <row r="778" spans="2:9" s="13" customFormat="1" ht="12.75">
      <c r="B778" s="21"/>
      <c r="D778" s="46"/>
      <c r="E778" s="15" t="s">
        <v>142</v>
      </c>
      <c r="G778" s="31"/>
      <c r="H778" s="31"/>
      <c r="I778" s="31"/>
    </row>
    <row r="779" spans="2:9" s="13" customFormat="1" ht="13.5" thickBot="1">
      <c r="B779" s="21"/>
      <c r="D779" s="46" t="s">
        <v>772</v>
      </c>
      <c r="E779" s="17" t="s">
        <v>773</v>
      </c>
      <c r="F779" s="17"/>
      <c r="G779" s="32">
        <f>G776</f>
        <v>12997000</v>
      </c>
      <c r="H779" s="32"/>
      <c r="I779" s="32">
        <f>I776</f>
        <v>12997000</v>
      </c>
    </row>
    <row r="780" spans="2:9" s="13" customFormat="1" ht="13.5" thickBot="1">
      <c r="B780" s="21"/>
      <c r="D780" s="15"/>
      <c r="E780" s="18" t="s">
        <v>474</v>
      </c>
      <c r="F780" s="19"/>
      <c r="G780" s="33">
        <f>G779</f>
        <v>12997000</v>
      </c>
      <c r="H780" s="33"/>
      <c r="I780" s="33">
        <f>I779</f>
        <v>12997000</v>
      </c>
    </row>
    <row r="781" spans="2:9" s="13" customFormat="1" ht="12.75">
      <c r="B781" s="21"/>
      <c r="D781" s="15"/>
      <c r="G781" s="30"/>
      <c r="H781" s="30"/>
      <c r="I781" s="30"/>
    </row>
    <row r="782" spans="2:9" s="13" customFormat="1" ht="12.75">
      <c r="B782" s="14" t="s">
        <v>143</v>
      </c>
      <c r="C782" s="14"/>
      <c r="D782" s="15"/>
      <c r="E782" s="15" t="s">
        <v>128</v>
      </c>
      <c r="G782" s="30"/>
      <c r="H782" s="30"/>
      <c r="I782" s="30"/>
    </row>
    <row r="783" spans="2:9" s="13" customFormat="1" ht="12.75">
      <c r="B783" s="14"/>
      <c r="C783" s="14">
        <v>210</v>
      </c>
      <c r="D783" s="15"/>
      <c r="E783" s="15" t="s">
        <v>868</v>
      </c>
      <c r="G783" s="30"/>
      <c r="H783" s="30"/>
      <c r="I783" s="30"/>
    </row>
    <row r="784" spans="2:9" s="13" customFormat="1" ht="12.75">
      <c r="B784" s="21"/>
      <c r="D784" s="45">
        <v>413</v>
      </c>
      <c r="E784" s="13" t="s">
        <v>878</v>
      </c>
      <c r="G784" s="31">
        <v>5625000</v>
      </c>
      <c r="H784" s="31"/>
      <c r="I784" s="31">
        <f aca="true" t="shared" si="35" ref="I784:I795">G784</f>
        <v>5625000</v>
      </c>
    </row>
    <row r="785" spans="2:9" s="13" customFormat="1" ht="12.75">
      <c r="B785" s="21"/>
      <c r="D785" s="22" t="s">
        <v>922</v>
      </c>
      <c r="E785" s="13" t="s">
        <v>138</v>
      </c>
      <c r="G785" s="31">
        <v>100000</v>
      </c>
      <c r="H785" s="31"/>
      <c r="I785" s="31">
        <f t="shared" si="35"/>
        <v>100000</v>
      </c>
    </row>
    <row r="786" spans="2:9" s="13" customFormat="1" ht="12.75">
      <c r="B786" s="21"/>
      <c r="D786" s="45">
        <v>421</v>
      </c>
      <c r="E786" s="13" t="s">
        <v>881</v>
      </c>
      <c r="G786" s="31">
        <v>9380000</v>
      </c>
      <c r="H786" s="31"/>
      <c r="I786" s="31">
        <f t="shared" si="35"/>
        <v>9380000</v>
      </c>
    </row>
    <row r="787" spans="2:9" s="13" customFormat="1" ht="12.75">
      <c r="B787" s="21"/>
      <c r="D787" s="45">
        <v>422</v>
      </c>
      <c r="E787" s="13" t="s">
        <v>879</v>
      </c>
      <c r="G787" s="31">
        <v>3527000</v>
      </c>
      <c r="H787" s="31"/>
      <c r="I787" s="31">
        <f t="shared" si="35"/>
        <v>3527000</v>
      </c>
    </row>
    <row r="788" spans="2:9" s="13" customFormat="1" ht="12.75">
      <c r="B788" s="21"/>
      <c r="D788" s="45">
        <v>423</v>
      </c>
      <c r="E788" s="13" t="s">
        <v>882</v>
      </c>
      <c r="G788" s="31">
        <v>4273000</v>
      </c>
      <c r="H788" s="31"/>
      <c r="I788" s="31">
        <f t="shared" si="35"/>
        <v>4273000</v>
      </c>
    </row>
    <row r="789" spans="2:9" s="13" customFormat="1" ht="12.75">
      <c r="B789" s="21"/>
      <c r="D789" s="45">
        <v>424</v>
      </c>
      <c r="E789" s="13" t="s">
        <v>883</v>
      </c>
      <c r="G789" s="31">
        <v>1710000</v>
      </c>
      <c r="H789" s="31"/>
      <c r="I789" s="31">
        <f t="shared" si="35"/>
        <v>1710000</v>
      </c>
    </row>
    <row r="790" spans="2:9" s="13" customFormat="1" ht="12.75">
      <c r="B790" s="21"/>
      <c r="D790" s="45">
        <v>425</v>
      </c>
      <c r="E790" s="13" t="s">
        <v>139</v>
      </c>
      <c r="G790" s="31">
        <v>1121000</v>
      </c>
      <c r="H790" s="31"/>
      <c r="I790" s="31">
        <f t="shared" si="35"/>
        <v>1121000</v>
      </c>
    </row>
    <row r="791" spans="2:9" s="13" customFormat="1" ht="12.75">
      <c r="B791" s="21"/>
      <c r="D791" s="45">
        <v>426</v>
      </c>
      <c r="E791" s="13" t="s">
        <v>884</v>
      </c>
      <c r="G791" s="31">
        <v>269000</v>
      </c>
      <c r="H791" s="31"/>
      <c r="I791" s="31">
        <f t="shared" si="35"/>
        <v>269000</v>
      </c>
    </row>
    <row r="792" spans="2:9" s="13" customFormat="1" ht="12.75">
      <c r="B792" s="21"/>
      <c r="D792" s="22" t="s">
        <v>750</v>
      </c>
      <c r="E792" s="13" t="s">
        <v>887</v>
      </c>
      <c r="G792" s="31">
        <v>40000</v>
      </c>
      <c r="H792" s="31"/>
      <c r="I792" s="31">
        <f t="shared" si="35"/>
        <v>40000</v>
      </c>
    </row>
    <row r="793" spans="2:9" s="13" customFormat="1" ht="12.75" customHeight="1" thickBot="1">
      <c r="B793" s="21"/>
      <c r="D793" s="22" t="s">
        <v>754</v>
      </c>
      <c r="E793" s="55" t="s">
        <v>212</v>
      </c>
      <c r="F793" s="55"/>
      <c r="G793" s="31">
        <v>60000</v>
      </c>
      <c r="H793" s="31"/>
      <c r="I793" s="31">
        <f t="shared" si="35"/>
        <v>60000</v>
      </c>
    </row>
    <row r="794" spans="2:9" s="13" customFormat="1" ht="12.75">
      <c r="B794" s="21"/>
      <c r="E794" s="48" t="s">
        <v>9</v>
      </c>
      <c r="F794" s="52"/>
      <c r="G794" s="50"/>
      <c r="H794" s="50"/>
      <c r="I794" s="50"/>
    </row>
    <row r="795" spans="2:9" s="13" customFormat="1" ht="13.5" thickBot="1">
      <c r="B795" s="21"/>
      <c r="D795" s="46" t="s">
        <v>772</v>
      </c>
      <c r="E795" s="17" t="s">
        <v>773</v>
      </c>
      <c r="F795" s="17"/>
      <c r="G795" s="32">
        <f>SUM(G784:G794)</f>
        <v>26105000</v>
      </c>
      <c r="H795" s="32"/>
      <c r="I795" s="32">
        <f t="shared" si="35"/>
        <v>26105000</v>
      </c>
    </row>
    <row r="796" spans="2:9" s="13" customFormat="1" ht="13.5" thickBot="1">
      <c r="B796" s="21"/>
      <c r="D796" s="46"/>
      <c r="E796" s="18" t="s">
        <v>10</v>
      </c>
      <c r="F796" s="19"/>
      <c r="G796" s="33">
        <f>G795</f>
        <v>26105000</v>
      </c>
      <c r="H796" s="33"/>
      <c r="I796" s="33">
        <f>I795</f>
        <v>26105000</v>
      </c>
    </row>
    <row r="797" spans="2:9" s="13" customFormat="1" ht="12.75">
      <c r="B797" s="21"/>
      <c r="D797" s="46"/>
      <c r="E797" s="15" t="s">
        <v>144</v>
      </c>
      <c r="G797" s="31"/>
      <c r="H797" s="31"/>
      <c r="I797" s="31"/>
    </row>
    <row r="798" spans="2:9" s="13" customFormat="1" ht="13.5" thickBot="1">
      <c r="B798" s="21"/>
      <c r="D798" s="46" t="s">
        <v>772</v>
      </c>
      <c r="E798" s="17" t="s">
        <v>773</v>
      </c>
      <c r="F798" s="17"/>
      <c r="G798" s="32">
        <f>G795</f>
        <v>26105000</v>
      </c>
      <c r="H798" s="32"/>
      <c r="I798" s="32">
        <f>I795</f>
        <v>26105000</v>
      </c>
    </row>
    <row r="799" spans="2:9" s="13" customFormat="1" ht="13.5" thickBot="1">
      <c r="B799" s="21"/>
      <c r="D799" s="14"/>
      <c r="E799" s="18" t="s">
        <v>475</v>
      </c>
      <c r="G799" s="33">
        <f>G798</f>
        <v>26105000</v>
      </c>
      <c r="H799" s="33"/>
      <c r="I799" s="33">
        <f>I798</f>
        <v>26105000</v>
      </c>
    </row>
    <row r="800" spans="5:9" ht="12.75">
      <c r="E800" s="58" t="s">
        <v>7</v>
      </c>
      <c r="F800" s="58"/>
      <c r="G800" s="25"/>
      <c r="H800" s="25"/>
      <c r="I800" s="25"/>
    </row>
    <row r="801" spans="4:9" ht="12.75">
      <c r="D801" s="5" t="s">
        <v>772</v>
      </c>
      <c r="E801" s="55" t="s">
        <v>773</v>
      </c>
      <c r="F801" s="55"/>
      <c r="G801" s="24">
        <f>+G798+G779+G762+G741</f>
        <v>23390321000</v>
      </c>
      <c r="H801" s="24">
        <v>0</v>
      </c>
      <c r="I801" s="24">
        <f aca="true" t="shared" si="36" ref="I801:I806">G801+H801</f>
        <v>23390321000</v>
      </c>
    </row>
    <row r="802" spans="4:9" ht="12.75">
      <c r="D802" s="5" t="s">
        <v>784</v>
      </c>
      <c r="E802" s="55" t="s">
        <v>785</v>
      </c>
      <c r="F802" s="55"/>
      <c r="G802" s="24">
        <v>0</v>
      </c>
      <c r="H802" s="24">
        <v>1048113000</v>
      </c>
      <c r="I802" s="24">
        <f t="shared" si="36"/>
        <v>1048113000</v>
      </c>
    </row>
    <row r="803" spans="4:9" ht="12.75">
      <c r="D803" s="5" t="s">
        <v>786</v>
      </c>
      <c r="E803" s="55" t="s">
        <v>787</v>
      </c>
      <c r="F803" s="55"/>
      <c r="G803" s="24">
        <v>0</v>
      </c>
      <c r="H803" s="24">
        <v>346850000</v>
      </c>
      <c r="I803" s="24">
        <f t="shared" si="36"/>
        <v>346850000</v>
      </c>
    </row>
    <row r="804" spans="4:9" ht="12.75">
      <c r="D804" s="5" t="s">
        <v>825</v>
      </c>
      <c r="E804" s="55" t="s">
        <v>905</v>
      </c>
      <c r="F804" s="55"/>
      <c r="G804" s="24">
        <v>0</v>
      </c>
      <c r="H804" s="24">
        <v>336474141</v>
      </c>
      <c r="I804" s="24">
        <f t="shared" si="36"/>
        <v>336474141</v>
      </c>
    </row>
    <row r="805" spans="4:9" ht="13.5" thickBot="1">
      <c r="D805" s="5" t="s">
        <v>830</v>
      </c>
      <c r="E805" s="55" t="s">
        <v>906</v>
      </c>
      <c r="F805" s="55"/>
      <c r="G805" s="24">
        <v>0</v>
      </c>
      <c r="H805" s="24">
        <v>625075000</v>
      </c>
      <c r="I805" s="24">
        <f t="shared" si="36"/>
        <v>625075000</v>
      </c>
    </row>
    <row r="806" spans="5:9" ht="13.5" thickBot="1">
      <c r="E806" s="56" t="s">
        <v>8</v>
      </c>
      <c r="F806" s="56"/>
      <c r="G806" s="26">
        <f>SUM(G801:G805)</f>
        <v>23390321000</v>
      </c>
      <c r="H806" s="26">
        <f>SUM(H801:H805)</f>
        <v>2356512141</v>
      </c>
      <c r="I806" s="26">
        <f t="shared" si="36"/>
        <v>25746833141</v>
      </c>
    </row>
    <row r="807" ht="9" customHeight="1"/>
    <row r="808" spans="1:6" ht="12.75">
      <c r="A808" s="8">
        <v>10</v>
      </c>
      <c r="B808" s="9" t="s">
        <v>766</v>
      </c>
      <c r="C808" s="8"/>
      <c r="D808" s="9"/>
      <c r="E808" s="57" t="s">
        <v>956</v>
      </c>
      <c r="F808" s="57"/>
    </row>
    <row r="809" spans="1:6" ht="12.75">
      <c r="A809" s="8"/>
      <c r="B809" s="9"/>
      <c r="C809" s="8" t="s">
        <v>794</v>
      </c>
      <c r="D809" s="9"/>
      <c r="E809" s="57" t="s">
        <v>795</v>
      </c>
      <c r="F809" s="57"/>
    </row>
    <row r="810" spans="4:9" ht="12.75">
      <c r="D810" s="5" t="s">
        <v>911</v>
      </c>
      <c r="E810" s="55" t="s">
        <v>199</v>
      </c>
      <c r="F810" s="55"/>
      <c r="G810" s="24">
        <v>11382219000</v>
      </c>
      <c r="H810" s="24">
        <v>261909000</v>
      </c>
      <c r="I810" s="24">
        <f aca="true" t="shared" si="37" ref="I810:I828">G810+H810</f>
        <v>11644128000</v>
      </c>
    </row>
    <row r="811" spans="4:9" ht="12.75">
      <c r="D811" s="5" t="s">
        <v>912</v>
      </c>
      <c r="E811" s="55" t="s">
        <v>877</v>
      </c>
      <c r="F811" s="55"/>
      <c r="G811" s="24">
        <v>2771320000</v>
      </c>
      <c r="H811" s="24">
        <v>59251000</v>
      </c>
      <c r="I811" s="24">
        <f t="shared" si="37"/>
        <v>2830571000</v>
      </c>
    </row>
    <row r="812" spans="4:9" ht="12.75">
      <c r="D812" s="5" t="s">
        <v>918</v>
      </c>
      <c r="E812" s="55" t="s">
        <v>878</v>
      </c>
      <c r="F812" s="55"/>
      <c r="G812" s="24">
        <v>72500000</v>
      </c>
      <c r="H812" s="24">
        <v>5000000</v>
      </c>
      <c r="I812" s="24">
        <f t="shared" si="37"/>
        <v>77500000</v>
      </c>
    </row>
    <row r="813" spans="4:9" ht="12.75">
      <c r="D813" s="5" t="s">
        <v>921</v>
      </c>
      <c r="E813" s="55" t="s">
        <v>880</v>
      </c>
      <c r="F813" s="55"/>
      <c r="G813" s="24">
        <v>291016000</v>
      </c>
      <c r="H813" s="24">
        <v>24870000</v>
      </c>
      <c r="I813" s="24">
        <f t="shared" si="37"/>
        <v>315886000</v>
      </c>
    </row>
    <row r="814" spans="4:9" ht="12.75">
      <c r="D814" s="5" t="s">
        <v>919</v>
      </c>
      <c r="E814" s="55" t="s">
        <v>200</v>
      </c>
      <c r="F814" s="55"/>
      <c r="G814" s="24">
        <v>62500000</v>
      </c>
      <c r="H814" s="24">
        <v>40000000</v>
      </c>
      <c r="I814" s="24">
        <f t="shared" si="37"/>
        <v>102500000</v>
      </c>
    </row>
    <row r="815" spans="4:9" ht="12.75">
      <c r="D815" s="5" t="s">
        <v>922</v>
      </c>
      <c r="E815" s="55" t="s">
        <v>201</v>
      </c>
      <c r="F815" s="55"/>
      <c r="G815" s="24">
        <v>0</v>
      </c>
      <c r="H815" s="24">
        <v>21000000</v>
      </c>
      <c r="I815" s="24">
        <f t="shared" si="37"/>
        <v>21000000</v>
      </c>
    </row>
    <row r="816" spans="4:9" ht="12.75">
      <c r="D816" s="5" t="s">
        <v>913</v>
      </c>
      <c r="E816" s="55" t="s">
        <v>881</v>
      </c>
      <c r="F816" s="55"/>
      <c r="G816" s="24">
        <v>527087000</v>
      </c>
      <c r="H816" s="24">
        <v>80005000</v>
      </c>
      <c r="I816" s="24">
        <f t="shared" si="37"/>
        <v>607092000</v>
      </c>
    </row>
    <row r="817" spans="4:9" ht="12.75">
      <c r="D817" s="5" t="s">
        <v>915</v>
      </c>
      <c r="E817" s="55" t="s">
        <v>879</v>
      </c>
      <c r="F817" s="55"/>
      <c r="G817" s="24">
        <v>263100000</v>
      </c>
      <c r="H817" s="24">
        <v>23000000</v>
      </c>
      <c r="I817" s="24">
        <f t="shared" si="37"/>
        <v>286100000</v>
      </c>
    </row>
    <row r="818" spans="4:9" ht="12.75">
      <c r="D818" s="5" t="s">
        <v>916</v>
      </c>
      <c r="E818" s="55" t="s">
        <v>882</v>
      </c>
      <c r="F818" s="55"/>
      <c r="G818" s="24">
        <v>120000000</v>
      </c>
      <c r="H818" s="24">
        <v>12625000</v>
      </c>
      <c r="I818" s="24">
        <f t="shared" si="37"/>
        <v>132625000</v>
      </c>
    </row>
    <row r="819" spans="4:9" ht="12.75">
      <c r="D819" s="5" t="s">
        <v>923</v>
      </c>
      <c r="E819" s="55" t="s">
        <v>883</v>
      </c>
      <c r="F819" s="55"/>
      <c r="G819" s="24">
        <v>48800000</v>
      </c>
      <c r="H819" s="24">
        <v>1875000</v>
      </c>
      <c r="I819" s="24">
        <f t="shared" si="37"/>
        <v>50675000</v>
      </c>
    </row>
    <row r="820" spans="4:9" ht="12.75">
      <c r="D820" s="5" t="s">
        <v>924</v>
      </c>
      <c r="E820" s="55" t="s">
        <v>203</v>
      </c>
      <c r="F820" s="55"/>
      <c r="G820" s="24">
        <v>238000000</v>
      </c>
      <c r="H820" s="24">
        <v>83374000</v>
      </c>
      <c r="I820" s="24">
        <f t="shared" si="37"/>
        <v>321374000</v>
      </c>
    </row>
    <row r="821" spans="4:9" ht="12.75">
      <c r="D821" s="5" t="s">
        <v>925</v>
      </c>
      <c r="E821" s="55" t="s">
        <v>884</v>
      </c>
      <c r="F821" s="55"/>
      <c r="G821" s="24">
        <v>960000000</v>
      </c>
      <c r="H821" s="24">
        <v>436625000</v>
      </c>
      <c r="I821" s="24">
        <f t="shared" si="37"/>
        <v>1396625000</v>
      </c>
    </row>
    <row r="822" spans="4:9" ht="12.75">
      <c r="D822" s="5" t="s">
        <v>746</v>
      </c>
      <c r="E822" s="55" t="s">
        <v>206</v>
      </c>
      <c r="F822" s="55"/>
      <c r="G822" s="24">
        <v>0</v>
      </c>
      <c r="H822" s="24">
        <v>125000</v>
      </c>
      <c r="I822" s="24">
        <f t="shared" si="37"/>
        <v>125000</v>
      </c>
    </row>
    <row r="823" spans="4:9" ht="12.75">
      <c r="D823" s="5" t="s">
        <v>753</v>
      </c>
      <c r="E823" s="55" t="s">
        <v>211</v>
      </c>
      <c r="F823" s="55"/>
      <c r="G823" s="24">
        <v>0</v>
      </c>
      <c r="H823" s="24">
        <v>500000</v>
      </c>
      <c r="I823" s="24">
        <f t="shared" si="37"/>
        <v>500000</v>
      </c>
    </row>
    <row r="824" spans="4:9" ht="12.75">
      <c r="D824" s="5" t="s">
        <v>754</v>
      </c>
      <c r="E824" s="55" t="s">
        <v>212</v>
      </c>
      <c r="F824" s="55"/>
      <c r="G824" s="24">
        <v>59300000</v>
      </c>
      <c r="H824" s="24">
        <v>15000000</v>
      </c>
      <c r="I824" s="24">
        <f t="shared" si="37"/>
        <v>74300000</v>
      </c>
    </row>
    <row r="825" spans="4:9" ht="12.75">
      <c r="D825" s="5" t="s">
        <v>755</v>
      </c>
      <c r="E825" s="55" t="s">
        <v>213</v>
      </c>
      <c r="F825" s="55"/>
      <c r="G825" s="24">
        <v>39800000</v>
      </c>
      <c r="H825" s="24">
        <v>2500000</v>
      </c>
      <c r="I825" s="24">
        <f t="shared" si="37"/>
        <v>42300000</v>
      </c>
    </row>
    <row r="826" spans="4:9" ht="26.25" customHeight="1">
      <c r="D826" s="5" t="s">
        <v>757</v>
      </c>
      <c r="E826" s="55" t="s">
        <v>888</v>
      </c>
      <c r="F826" s="55"/>
      <c r="G826" s="24">
        <v>30000000</v>
      </c>
      <c r="H826" s="24">
        <v>2500000</v>
      </c>
      <c r="I826" s="24">
        <f t="shared" si="37"/>
        <v>32500000</v>
      </c>
    </row>
    <row r="827" spans="4:9" ht="12.75">
      <c r="D827" s="5" t="s">
        <v>926</v>
      </c>
      <c r="E827" s="55" t="s">
        <v>885</v>
      </c>
      <c r="F827" s="55"/>
      <c r="G827" s="24">
        <v>230000000</v>
      </c>
      <c r="H827" s="24">
        <v>77500000</v>
      </c>
      <c r="I827" s="24">
        <f t="shared" si="37"/>
        <v>307500000</v>
      </c>
    </row>
    <row r="828" spans="4:9" ht="13.5" thickBot="1">
      <c r="D828" s="5" t="s">
        <v>927</v>
      </c>
      <c r="E828" s="55" t="s">
        <v>886</v>
      </c>
      <c r="F828" s="55"/>
      <c r="G828" s="24">
        <v>335150000</v>
      </c>
      <c r="H828" s="24">
        <v>90938922.01</v>
      </c>
      <c r="I828" s="24">
        <f t="shared" si="37"/>
        <v>426088922.01</v>
      </c>
    </row>
    <row r="829" spans="5:9" ht="12.75">
      <c r="E829" s="58" t="s">
        <v>0</v>
      </c>
      <c r="F829" s="58"/>
      <c r="G829" s="25"/>
      <c r="H829" s="25"/>
      <c r="I829" s="25"/>
    </row>
    <row r="830" spans="4:9" ht="12.75">
      <c r="D830" s="5" t="s">
        <v>772</v>
      </c>
      <c r="E830" s="55" t="s">
        <v>773</v>
      </c>
      <c r="F830" s="55"/>
      <c r="G830" s="24">
        <f>SUM(G810:G829)</f>
        <v>17430792000</v>
      </c>
      <c r="I830" s="24">
        <f>G830+H830</f>
        <v>17430792000</v>
      </c>
    </row>
    <row r="831" spans="4:9" ht="12.75">
      <c r="D831" s="5" t="s">
        <v>784</v>
      </c>
      <c r="E831" s="55" t="s">
        <v>785</v>
      </c>
      <c r="F831" s="55"/>
      <c r="H831" s="24">
        <v>1208660000</v>
      </c>
      <c r="I831" s="24">
        <f>G831+H831</f>
        <v>1208660000</v>
      </c>
    </row>
    <row r="832" spans="4:9" ht="12.75">
      <c r="D832" s="5" t="s">
        <v>796</v>
      </c>
      <c r="E832" s="55" t="s">
        <v>797</v>
      </c>
      <c r="F832" s="55"/>
      <c r="H832" s="24">
        <v>7500000</v>
      </c>
      <c r="I832" s="24">
        <f>G832+H832</f>
        <v>7500000</v>
      </c>
    </row>
    <row r="833" spans="4:9" ht="13.5" thickBot="1">
      <c r="D833" s="5" t="s">
        <v>825</v>
      </c>
      <c r="E833" s="55" t="s">
        <v>905</v>
      </c>
      <c r="F833" s="55"/>
      <c r="H833" s="24">
        <v>22437922.01</v>
      </c>
      <c r="I833" s="24">
        <f>G833+H833</f>
        <v>22437922.01</v>
      </c>
    </row>
    <row r="834" spans="5:9" ht="13.5" thickBot="1">
      <c r="E834" s="56" t="s">
        <v>1</v>
      </c>
      <c r="F834" s="56"/>
      <c r="G834" s="26">
        <f>SUM(G830:G833)</f>
        <v>17430792000</v>
      </c>
      <c r="H834" s="26">
        <f>SUM(H830:H833)</f>
        <v>1238597922.01</v>
      </c>
      <c r="I834" s="26">
        <f>G834+H834</f>
        <v>18669389922.01</v>
      </c>
    </row>
    <row r="835" spans="5:9" ht="12.75">
      <c r="E835" s="58" t="s">
        <v>11</v>
      </c>
      <c r="F835" s="58"/>
      <c r="G835" s="25"/>
      <c r="H835" s="25"/>
      <c r="I835" s="25"/>
    </row>
    <row r="836" spans="4:9" ht="12.75">
      <c r="D836" s="5" t="s">
        <v>772</v>
      </c>
      <c r="E836" s="55" t="s">
        <v>773</v>
      </c>
      <c r="F836" s="55"/>
      <c r="G836" s="24">
        <f>+G830</f>
        <v>17430792000</v>
      </c>
      <c r="H836" s="24">
        <v>0</v>
      </c>
      <c r="I836" s="24">
        <f>G836+H836</f>
        <v>17430792000</v>
      </c>
    </row>
    <row r="837" spans="4:9" ht="12.75">
      <c r="D837" s="5" t="s">
        <v>784</v>
      </c>
      <c r="E837" s="55" t="s">
        <v>785</v>
      </c>
      <c r="F837" s="55"/>
      <c r="G837" s="24">
        <v>0</v>
      </c>
      <c r="H837" s="24">
        <v>1208660000</v>
      </c>
      <c r="I837" s="24">
        <f>G837+H837</f>
        <v>1208660000</v>
      </c>
    </row>
    <row r="838" spans="4:9" ht="12.75">
      <c r="D838" s="5" t="s">
        <v>796</v>
      </c>
      <c r="E838" s="55" t="s">
        <v>797</v>
      </c>
      <c r="F838" s="55"/>
      <c r="G838" s="24">
        <v>0</v>
      </c>
      <c r="H838" s="24">
        <v>7500000</v>
      </c>
      <c r="I838" s="24">
        <f>G838+H838</f>
        <v>7500000</v>
      </c>
    </row>
    <row r="839" spans="4:9" ht="13.5" thickBot="1">
      <c r="D839" s="5" t="s">
        <v>825</v>
      </c>
      <c r="E839" s="55" t="s">
        <v>905</v>
      </c>
      <c r="F839" s="55"/>
      <c r="G839" s="24">
        <v>0</v>
      </c>
      <c r="H839" s="24">
        <v>22437922.01</v>
      </c>
      <c r="I839" s="24">
        <f>G839+H839</f>
        <v>22437922.01</v>
      </c>
    </row>
    <row r="840" spans="5:9" ht="13.5" thickBot="1">
      <c r="E840" s="56" t="s">
        <v>12</v>
      </c>
      <c r="F840" s="56"/>
      <c r="G840" s="26">
        <f>SUM(G836:G839)</f>
        <v>17430792000</v>
      </c>
      <c r="H840" s="26">
        <f>SUM(H836:H839)</f>
        <v>1238597922.01</v>
      </c>
      <c r="I840" s="26">
        <f>G840+H840</f>
        <v>18669389922.01</v>
      </c>
    </row>
    <row r="841" ht="8.25" customHeight="1"/>
    <row r="842" spans="1:6" ht="12.75">
      <c r="A842" s="8">
        <v>11</v>
      </c>
      <c r="B842" s="9" t="s">
        <v>766</v>
      </c>
      <c r="C842" s="8"/>
      <c r="D842" s="9"/>
      <c r="E842" s="57" t="s">
        <v>286</v>
      </c>
      <c r="F842" s="57"/>
    </row>
    <row r="843" spans="1:6" ht="12.75">
      <c r="A843" s="8"/>
      <c r="B843" s="9"/>
      <c r="C843" s="8" t="s">
        <v>788</v>
      </c>
      <c r="D843" s="9"/>
      <c r="E843" s="57" t="s">
        <v>789</v>
      </c>
      <c r="F843" s="57"/>
    </row>
    <row r="844" spans="4:9" ht="12.75">
      <c r="D844" s="5" t="s">
        <v>911</v>
      </c>
      <c r="E844" s="55" t="s">
        <v>199</v>
      </c>
      <c r="F844" s="55"/>
      <c r="G844" s="24">
        <v>832776000</v>
      </c>
      <c r="H844" s="24">
        <v>0</v>
      </c>
      <c r="I844" s="24">
        <f aca="true" t="shared" si="38" ref="I844:I859">G844+H844</f>
        <v>832776000</v>
      </c>
    </row>
    <row r="845" spans="4:9" ht="12.75">
      <c r="D845" s="5" t="s">
        <v>912</v>
      </c>
      <c r="E845" s="55" t="s">
        <v>877</v>
      </c>
      <c r="F845" s="55"/>
      <c r="G845" s="24">
        <v>208194000</v>
      </c>
      <c r="H845" s="24">
        <v>0</v>
      </c>
      <c r="I845" s="24">
        <f t="shared" si="38"/>
        <v>208194000</v>
      </c>
    </row>
    <row r="846" spans="4:9" ht="12.75">
      <c r="D846" s="5" t="s">
        <v>918</v>
      </c>
      <c r="E846" s="55" t="s">
        <v>878</v>
      </c>
      <c r="F846" s="55"/>
      <c r="G846" s="24">
        <v>3000000</v>
      </c>
      <c r="H846" s="24">
        <v>0</v>
      </c>
      <c r="I846" s="24">
        <f t="shared" si="38"/>
        <v>3000000</v>
      </c>
    </row>
    <row r="847" spans="4:9" ht="12.75">
      <c r="D847" s="5" t="s">
        <v>921</v>
      </c>
      <c r="E847" s="55" t="s">
        <v>880</v>
      </c>
      <c r="F847" s="55"/>
      <c r="G847" s="24">
        <v>32706000</v>
      </c>
      <c r="H847" s="24">
        <v>0</v>
      </c>
      <c r="I847" s="24">
        <f t="shared" si="38"/>
        <v>32706000</v>
      </c>
    </row>
    <row r="848" spans="4:9" ht="12.75">
      <c r="D848" s="5" t="s">
        <v>919</v>
      </c>
      <c r="E848" s="55" t="s">
        <v>200</v>
      </c>
      <c r="F848" s="55"/>
      <c r="G848" s="24">
        <v>10625000</v>
      </c>
      <c r="H848" s="24">
        <v>0</v>
      </c>
      <c r="I848" s="24">
        <f t="shared" si="38"/>
        <v>10625000</v>
      </c>
    </row>
    <row r="849" spans="4:9" ht="12.75">
      <c r="D849" s="5" t="s">
        <v>922</v>
      </c>
      <c r="E849" s="55" t="s">
        <v>201</v>
      </c>
      <c r="F849" s="55"/>
      <c r="G849" s="24">
        <v>0</v>
      </c>
      <c r="H849" s="24">
        <v>250000</v>
      </c>
      <c r="I849" s="24">
        <f t="shared" si="38"/>
        <v>250000</v>
      </c>
    </row>
    <row r="850" spans="4:9" ht="12.75">
      <c r="D850" s="5" t="s">
        <v>913</v>
      </c>
      <c r="E850" s="55" t="s">
        <v>881</v>
      </c>
      <c r="F850" s="55"/>
      <c r="G850" s="24">
        <v>68459000</v>
      </c>
      <c r="H850" s="24">
        <v>73000</v>
      </c>
      <c r="I850" s="24">
        <f t="shared" si="38"/>
        <v>68532000</v>
      </c>
    </row>
    <row r="851" spans="4:9" ht="12.75">
      <c r="D851" s="5" t="s">
        <v>915</v>
      </c>
      <c r="E851" s="55" t="s">
        <v>879</v>
      </c>
      <c r="F851" s="55"/>
      <c r="G851" s="24">
        <v>6200000</v>
      </c>
      <c r="H851" s="24">
        <v>1525000</v>
      </c>
      <c r="I851" s="24">
        <f t="shared" si="38"/>
        <v>7725000</v>
      </c>
    </row>
    <row r="852" spans="4:9" ht="12.75">
      <c r="D852" s="5" t="s">
        <v>916</v>
      </c>
      <c r="E852" s="55" t="s">
        <v>882</v>
      </c>
      <c r="F852" s="55"/>
      <c r="G852" s="24">
        <v>13340000</v>
      </c>
      <c r="H852" s="24">
        <v>300000</v>
      </c>
      <c r="I852" s="24">
        <f t="shared" si="38"/>
        <v>13640000</v>
      </c>
    </row>
    <row r="853" spans="4:9" ht="12.75">
      <c r="D853" s="5" t="s">
        <v>923</v>
      </c>
      <c r="E853" s="55" t="s">
        <v>883</v>
      </c>
      <c r="F853" s="55"/>
      <c r="G853" s="24">
        <v>21600000</v>
      </c>
      <c r="H853" s="24">
        <v>250000</v>
      </c>
      <c r="I853" s="24">
        <f t="shared" si="38"/>
        <v>21850000</v>
      </c>
    </row>
    <row r="854" spans="4:9" ht="12.75">
      <c r="D854" s="5" t="s">
        <v>924</v>
      </c>
      <c r="E854" s="55" t="s">
        <v>203</v>
      </c>
      <c r="F854" s="55"/>
      <c r="G854" s="24">
        <v>17376000</v>
      </c>
      <c r="H854" s="24">
        <v>775000</v>
      </c>
      <c r="I854" s="24">
        <f t="shared" si="38"/>
        <v>18151000</v>
      </c>
    </row>
    <row r="855" spans="4:9" ht="12.75">
      <c r="D855" s="5" t="s">
        <v>925</v>
      </c>
      <c r="E855" s="55" t="s">
        <v>884</v>
      </c>
      <c r="F855" s="55"/>
      <c r="G855" s="24">
        <v>77116000</v>
      </c>
      <c r="H855" s="24">
        <v>2740000</v>
      </c>
      <c r="I855" s="24">
        <f t="shared" si="38"/>
        <v>79856000</v>
      </c>
    </row>
    <row r="856" spans="4:9" ht="12.75">
      <c r="D856" s="5" t="s">
        <v>754</v>
      </c>
      <c r="E856" s="55" t="s">
        <v>212</v>
      </c>
      <c r="F856" s="55"/>
      <c r="G856" s="24">
        <v>9100000</v>
      </c>
      <c r="H856" s="24">
        <v>88000</v>
      </c>
      <c r="I856" s="24">
        <f t="shared" si="38"/>
        <v>9188000</v>
      </c>
    </row>
    <row r="857" spans="4:9" ht="12.75">
      <c r="D857" s="5" t="s">
        <v>755</v>
      </c>
      <c r="E857" s="55" t="s">
        <v>213</v>
      </c>
      <c r="F857" s="55"/>
      <c r="G857" s="24">
        <v>800000</v>
      </c>
      <c r="H857" s="24">
        <v>0</v>
      </c>
      <c r="I857" s="24">
        <f t="shared" si="38"/>
        <v>800000</v>
      </c>
    </row>
    <row r="858" spans="4:9" ht="12.75">
      <c r="D858" s="5" t="s">
        <v>926</v>
      </c>
      <c r="E858" s="55" t="s">
        <v>885</v>
      </c>
      <c r="F858" s="55"/>
      <c r="G858" s="24">
        <v>62083000</v>
      </c>
      <c r="H858" s="24">
        <v>0</v>
      </c>
      <c r="I858" s="24">
        <f t="shared" si="38"/>
        <v>62083000</v>
      </c>
    </row>
    <row r="859" spans="4:9" ht="13.5" thickBot="1">
      <c r="D859" s="5" t="s">
        <v>927</v>
      </c>
      <c r="E859" s="55" t="s">
        <v>886</v>
      </c>
      <c r="F859" s="55"/>
      <c r="G859" s="24">
        <v>100000000</v>
      </c>
      <c r="H859" s="24">
        <v>801397</v>
      </c>
      <c r="I859" s="24">
        <f t="shared" si="38"/>
        <v>100801397</v>
      </c>
    </row>
    <row r="860" spans="5:9" ht="12.75">
      <c r="E860" s="58" t="s">
        <v>700</v>
      </c>
      <c r="F860" s="58"/>
      <c r="G860" s="25"/>
      <c r="H860" s="25"/>
      <c r="I860" s="25"/>
    </row>
    <row r="861" spans="4:9" ht="12.75">
      <c r="D861" s="5" t="s">
        <v>772</v>
      </c>
      <c r="E861" s="55" t="s">
        <v>773</v>
      </c>
      <c r="F861" s="55"/>
      <c r="G861" s="24">
        <f>SUM(G844:G860)</f>
        <v>1463375000</v>
      </c>
      <c r="I861" s="24">
        <f>G861+H861</f>
        <v>1463375000</v>
      </c>
    </row>
    <row r="862" spans="4:9" ht="12.75">
      <c r="D862" s="5" t="s">
        <v>784</v>
      </c>
      <c r="E862" s="55" t="s">
        <v>785</v>
      </c>
      <c r="F862" s="55"/>
      <c r="H862" s="24">
        <v>6001000</v>
      </c>
      <c r="I862" s="24">
        <f>G862+H862</f>
        <v>6001000</v>
      </c>
    </row>
    <row r="863" spans="4:9" ht="13.5" thickBot="1">
      <c r="D863" s="5" t="s">
        <v>780</v>
      </c>
      <c r="E863" s="54" t="s">
        <v>781</v>
      </c>
      <c r="F863" s="54"/>
      <c r="H863" s="24">
        <v>801397</v>
      </c>
      <c r="I863" s="24">
        <f>G863+H863</f>
        <v>801397</v>
      </c>
    </row>
    <row r="864" spans="5:9" ht="13.5" thickBot="1">
      <c r="E864" s="56" t="s">
        <v>701</v>
      </c>
      <c r="F864" s="56"/>
      <c r="G864" s="26">
        <f>SUM(G861:G862)</f>
        <v>1463375000</v>
      </c>
      <c r="H864" s="26">
        <f>SUM(H862:H863)</f>
        <v>6802397</v>
      </c>
      <c r="I864" s="26">
        <f>G864+H864</f>
        <v>1470177397</v>
      </c>
    </row>
    <row r="865" spans="5:9" ht="12.75">
      <c r="E865" s="58" t="s">
        <v>15</v>
      </c>
      <c r="F865" s="58"/>
      <c r="G865" s="25"/>
      <c r="H865" s="25"/>
      <c r="I865" s="25"/>
    </row>
    <row r="866" spans="4:9" ht="12.75">
      <c r="D866" s="5" t="s">
        <v>772</v>
      </c>
      <c r="E866" s="55" t="s">
        <v>773</v>
      </c>
      <c r="F866" s="55"/>
      <c r="G866" s="24">
        <f>+G861</f>
        <v>1463375000</v>
      </c>
      <c r="H866" s="24">
        <v>0</v>
      </c>
      <c r="I866" s="24">
        <f>G866+H866</f>
        <v>1463375000</v>
      </c>
    </row>
    <row r="867" spans="4:9" ht="12.75">
      <c r="D867" s="5" t="s">
        <v>784</v>
      </c>
      <c r="E867" s="55" t="s">
        <v>785</v>
      </c>
      <c r="F867" s="55"/>
      <c r="G867" s="24">
        <v>0</v>
      </c>
      <c r="H867" s="24">
        <f>+H862</f>
        <v>6001000</v>
      </c>
      <c r="I867" s="24">
        <f>G867+H867</f>
        <v>6001000</v>
      </c>
    </row>
    <row r="868" spans="4:9" ht="13.5" thickBot="1">
      <c r="D868" s="5" t="s">
        <v>780</v>
      </c>
      <c r="E868" s="54" t="s">
        <v>781</v>
      </c>
      <c r="F868" s="54"/>
      <c r="H868" s="24">
        <f>+H863</f>
        <v>801397</v>
      </c>
      <c r="I868" s="24">
        <f>G868+H868</f>
        <v>801397</v>
      </c>
    </row>
    <row r="869" spans="5:9" ht="13.5" thickBot="1">
      <c r="E869" s="56" t="s">
        <v>16</v>
      </c>
      <c r="F869" s="56"/>
      <c r="G869" s="26">
        <f>SUM(G866:G867)</f>
        <v>1463375000</v>
      </c>
      <c r="H869" s="26">
        <f>SUM(H866:H868)</f>
        <v>6802397</v>
      </c>
      <c r="I869" s="26">
        <f>G869+H869</f>
        <v>1470177397</v>
      </c>
    </row>
    <row r="870" spans="5:9" ht="7.5" customHeight="1">
      <c r="E870" s="12"/>
      <c r="F870" s="12"/>
      <c r="G870" s="29"/>
      <c r="H870" s="29"/>
      <c r="I870" s="29"/>
    </row>
    <row r="871" spans="1:6" ht="12.75">
      <c r="A871" s="8">
        <v>12</v>
      </c>
      <c r="B871" s="9" t="s">
        <v>766</v>
      </c>
      <c r="C871" s="8"/>
      <c r="D871" s="9"/>
      <c r="E871" s="57" t="s">
        <v>962</v>
      </c>
      <c r="F871" s="57"/>
    </row>
    <row r="872" spans="1:6" ht="12.75">
      <c r="A872" s="8"/>
      <c r="B872" s="9"/>
      <c r="C872" s="8" t="s">
        <v>843</v>
      </c>
      <c r="D872" s="9"/>
      <c r="E872" s="57" t="s">
        <v>844</v>
      </c>
      <c r="F872" s="57"/>
    </row>
    <row r="873" spans="4:9" ht="12.75">
      <c r="D873" s="5" t="s">
        <v>931</v>
      </c>
      <c r="E873" s="55" t="s">
        <v>210</v>
      </c>
      <c r="F873" s="55"/>
      <c r="G873" s="24">
        <v>51355200000</v>
      </c>
      <c r="H873" s="24">
        <v>0</v>
      </c>
      <c r="I873" s="24">
        <f>G873+H873</f>
        <v>51355200000</v>
      </c>
    </row>
    <row r="874" spans="5:6" ht="78.75" customHeight="1" thickBot="1">
      <c r="E874" s="55" t="s">
        <v>458</v>
      </c>
      <c r="F874" s="55"/>
    </row>
    <row r="875" spans="5:9" ht="12.75">
      <c r="E875" s="58" t="s">
        <v>17</v>
      </c>
      <c r="F875" s="58"/>
      <c r="G875" s="25"/>
      <c r="H875" s="25"/>
      <c r="I875" s="25"/>
    </row>
    <row r="876" spans="4:9" ht="13.5" thickBot="1">
      <c r="D876" s="5" t="s">
        <v>772</v>
      </c>
      <c r="E876" s="55" t="s">
        <v>773</v>
      </c>
      <c r="F876" s="55"/>
      <c r="G876" s="24">
        <f>+G873</f>
        <v>51355200000</v>
      </c>
      <c r="I876" s="24">
        <f>G876+H876</f>
        <v>51355200000</v>
      </c>
    </row>
    <row r="877" spans="5:9" ht="13.5" thickBot="1">
      <c r="E877" s="56" t="s">
        <v>18</v>
      </c>
      <c r="F877" s="56"/>
      <c r="G877" s="26">
        <f>SUM(G876:G876)</f>
        <v>51355200000</v>
      </c>
      <c r="H877" s="26">
        <f>SUM(H876:H876)</f>
        <v>0</v>
      </c>
      <c r="I877" s="26">
        <f>G877+H877</f>
        <v>51355200000</v>
      </c>
    </row>
    <row r="878" ht="7.5" customHeight="1"/>
    <row r="879" spans="1:6" ht="27" customHeight="1">
      <c r="A879" s="8"/>
      <c r="B879" s="9"/>
      <c r="C879" s="8" t="s">
        <v>767</v>
      </c>
      <c r="D879" s="9"/>
      <c r="E879" s="57" t="s">
        <v>768</v>
      </c>
      <c r="F879" s="57"/>
    </row>
    <row r="880" spans="4:9" ht="12.75">
      <c r="D880" s="5" t="s">
        <v>911</v>
      </c>
      <c r="E880" s="55" t="s">
        <v>199</v>
      </c>
      <c r="F880" s="55"/>
      <c r="G880" s="24">
        <v>74528000</v>
      </c>
      <c r="H880" s="24">
        <v>0</v>
      </c>
      <c r="I880" s="24">
        <f aca="true" t="shared" si="39" ref="I880:I892">G880+H880</f>
        <v>74528000</v>
      </c>
    </row>
    <row r="881" spans="4:9" ht="12.75">
      <c r="D881" s="5" t="s">
        <v>912</v>
      </c>
      <c r="E881" s="55" t="s">
        <v>877</v>
      </c>
      <c r="F881" s="55"/>
      <c r="G881" s="24">
        <v>16344000</v>
      </c>
      <c r="H881" s="24">
        <v>0</v>
      </c>
      <c r="I881" s="24">
        <f t="shared" si="39"/>
        <v>16344000</v>
      </c>
    </row>
    <row r="882" spans="4:9" ht="12.75">
      <c r="D882" s="5" t="s">
        <v>918</v>
      </c>
      <c r="E882" s="55" t="s">
        <v>878</v>
      </c>
      <c r="F882" s="55"/>
      <c r="G882" s="24">
        <v>325000</v>
      </c>
      <c r="H882" s="24">
        <v>0</v>
      </c>
      <c r="I882" s="24">
        <f t="shared" si="39"/>
        <v>325000</v>
      </c>
    </row>
    <row r="883" spans="4:9" ht="12.75">
      <c r="D883" s="5" t="s">
        <v>921</v>
      </c>
      <c r="E883" s="55" t="s">
        <v>880</v>
      </c>
      <c r="F883" s="55"/>
      <c r="G883" s="24">
        <v>1770000</v>
      </c>
      <c r="H883" s="24">
        <v>0</v>
      </c>
      <c r="I883" s="24">
        <f t="shared" si="39"/>
        <v>1770000</v>
      </c>
    </row>
    <row r="884" spans="4:9" ht="12.75">
      <c r="D884" s="5" t="s">
        <v>919</v>
      </c>
      <c r="E884" s="55" t="s">
        <v>200</v>
      </c>
      <c r="F884" s="55"/>
      <c r="G884" s="24">
        <v>2015000</v>
      </c>
      <c r="H884" s="24">
        <v>0</v>
      </c>
      <c r="I884" s="24">
        <f t="shared" si="39"/>
        <v>2015000</v>
      </c>
    </row>
    <row r="885" spans="4:9" ht="12.75">
      <c r="D885" s="5" t="s">
        <v>913</v>
      </c>
      <c r="E885" s="55" t="s">
        <v>881</v>
      </c>
      <c r="F885" s="55"/>
      <c r="G885" s="24">
        <v>46767000</v>
      </c>
      <c r="H885" s="24">
        <v>0</v>
      </c>
      <c r="I885" s="24">
        <f t="shared" si="39"/>
        <v>46767000</v>
      </c>
    </row>
    <row r="886" spans="4:9" ht="12.75">
      <c r="D886" s="5" t="s">
        <v>915</v>
      </c>
      <c r="E886" s="55" t="s">
        <v>879</v>
      </c>
      <c r="F886" s="55"/>
      <c r="G886" s="24">
        <f>3320000+2000000+500000</f>
        <v>5820000</v>
      </c>
      <c r="H886" s="24">
        <v>0</v>
      </c>
      <c r="I886" s="24">
        <f t="shared" si="39"/>
        <v>5820000</v>
      </c>
    </row>
    <row r="887" spans="4:9" ht="12.75">
      <c r="D887" s="5" t="s">
        <v>916</v>
      </c>
      <c r="E887" s="55" t="s">
        <v>882</v>
      </c>
      <c r="F887" s="55"/>
      <c r="G887" s="24">
        <f>27460000-500000</f>
        <v>26960000</v>
      </c>
      <c r="H887" s="24">
        <f>4208166+5736033</f>
        <v>9944199</v>
      </c>
      <c r="I887" s="24">
        <f t="shared" si="39"/>
        <v>36904199</v>
      </c>
    </row>
    <row r="888" spans="4:9" ht="12.75">
      <c r="D888" s="5" t="s">
        <v>923</v>
      </c>
      <c r="E888" s="55" t="s">
        <v>883</v>
      </c>
      <c r="F888" s="55"/>
      <c r="G888" s="24">
        <f>30000000-6000000</f>
        <v>24000000</v>
      </c>
      <c r="H888" s="24">
        <v>0</v>
      </c>
      <c r="I888" s="24">
        <f t="shared" si="39"/>
        <v>24000000</v>
      </c>
    </row>
    <row r="889" spans="4:9" ht="12.75">
      <c r="D889" s="5" t="s">
        <v>924</v>
      </c>
      <c r="E889" s="55" t="s">
        <v>203</v>
      </c>
      <c r="F889" s="55"/>
      <c r="G889" s="24">
        <v>1000000</v>
      </c>
      <c r="H889" s="24">
        <v>0</v>
      </c>
      <c r="I889" s="24">
        <f t="shared" si="39"/>
        <v>1000000</v>
      </c>
    </row>
    <row r="890" spans="4:9" ht="12.75">
      <c r="D890" s="5" t="s">
        <v>925</v>
      </c>
      <c r="E890" s="55" t="s">
        <v>884</v>
      </c>
      <c r="F890" s="55"/>
      <c r="G890" s="24">
        <v>4425000</v>
      </c>
      <c r="H890" s="24">
        <v>0</v>
      </c>
      <c r="I890" s="24">
        <f t="shared" si="39"/>
        <v>4425000</v>
      </c>
    </row>
    <row r="891" spans="4:9" ht="12.75">
      <c r="D891" s="5" t="s">
        <v>930</v>
      </c>
      <c r="E891" s="55" t="s">
        <v>209</v>
      </c>
      <c r="F891" s="55"/>
      <c r="H891" s="24">
        <v>1237970</v>
      </c>
      <c r="I891" s="24">
        <f t="shared" si="39"/>
        <v>1237970</v>
      </c>
    </row>
    <row r="892" spans="4:9" ht="12.75">
      <c r="D892" s="5" t="s">
        <v>750</v>
      </c>
      <c r="E892" s="55" t="s">
        <v>887</v>
      </c>
      <c r="F892" s="55"/>
      <c r="G892" s="24">
        <v>9000000</v>
      </c>
      <c r="H892" s="24">
        <v>0</v>
      </c>
      <c r="I892" s="24">
        <f t="shared" si="39"/>
        <v>9000000</v>
      </c>
    </row>
    <row r="893" spans="5:7" ht="41.25" customHeight="1">
      <c r="E893" s="55" t="s">
        <v>459</v>
      </c>
      <c r="F893" s="55"/>
      <c r="G893" s="24">
        <v>0</v>
      </c>
    </row>
    <row r="894" spans="4:9" ht="12.75">
      <c r="D894" s="5" t="s">
        <v>754</v>
      </c>
      <c r="E894" s="55" t="s">
        <v>212</v>
      </c>
      <c r="F894" s="55"/>
      <c r="G894" s="24">
        <v>100000</v>
      </c>
      <c r="H894" s="24">
        <v>0</v>
      </c>
      <c r="I894" s="24">
        <f>G894+H894</f>
        <v>100000</v>
      </c>
    </row>
    <row r="895" spans="4:9" ht="12.75">
      <c r="D895" s="5" t="s">
        <v>926</v>
      </c>
      <c r="E895" s="55" t="s">
        <v>885</v>
      </c>
      <c r="F895" s="55"/>
      <c r="G895" s="24">
        <f>30000000-10000000</f>
        <v>20000000</v>
      </c>
      <c r="H895" s="24">
        <v>0</v>
      </c>
      <c r="I895" s="24">
        <f>G895+H895</f>
        <v>20000000</v>
      </c>
    </row>
    <row r="896" spans="4:9" ht="12.75">
      <c r="D896" s="5" t="s">
        <v>927</v>
      </c>
      <c r="E896" s="55" t="s">
        <v>886</v>
      </c>
      <c r="F896" s="55"/>
      <c r="G896" s="24">
        <v>65000000</v>
      </c>
      <c r="H896" s="24">
        <v>0</v>
      </c>
      <c r="I896" s="24">
        <f>G896+H896</f>
        <v>65000000</v>
      </c>
    </row>
    <row r="897" spans="4:9" ht="13.5" thickBot="1">
      <c r="D897" s="5" t="s">
        <v>940</v>
      </c>
      <c r="E897" s="55" t="s">
        <v>897</v>
      </c>
      <c r="F897" s="55"/>
      <c r="G897" s="24">
        <v>5300000</v>
      </c>
      <c r="H897" s="24">
        <v>0</v>
      </c>
      <c r="I897" s="24">
        <f>G897+H897</f>
        <v>5300000</v>
      </c>
    </row>
    <row r="898" spans="5:9" ht="12.75">
      <c r="E898" s="58" t="s">
        <v>342</v>
      </c>
      <c r="F898" s="58"/>
      <c r="G898" s="25"/>
      <c r="H898" s="25"/>
      <c r="I898" s="25"/>
    </row>
    <row r="899" spans="4:9" ht="12.75">
      <c r="D899" s="5" t="s">
        <v>772</v>
      </c>
      <c r="E899" s="55" t="s">
        <v>773</v>
      </c>
      <c r="F899" s="55"/>
      <c r="G899" s="24">
        <f>SUM(G880:G898)</f>
        <v>303354000</v>
      </c>
      <c r="I899" s="24">
        <f>G899+H899</f>
        <v>303354000</v>
      </c>
    </row>
    <row r="900" spans="4:9" ht="12.75">
      <c r="D900" s="5" t="s">
        <v>778</v>
      </c>
      <c r="E900" s="55" t="s">
        <v>779</v>
      </c>
      <c r="F900" s="55"/>
      <c r="H900" s="24">
        <f>+H891+4509287</f>
        <v>5747257</v>
      </c>
      <c r="I900" s="24">
        <f>G900+H900</f>
        <v>5747257</v>
      </c>
    </row>
    <row r="901" spans="4:9" ht="12.75">
      <c r="D901" s="5" t="s">
        <v>780</v>
      </c>
      <c r="E901" s="55" t="s">
        <v>781</v>
      </c>
      <c r="F901" s="55"/>
      <c r="H901" s="24">
        <v>2981420</v>
      </c>
      <c r="I901" s="24">
        <f>G901+H901</f>
        <v>2981420</v>
      </c>
    </row>
    <row r="902" spans="4:9" ht="13.5" thickBot="1">
      <c r="D902" s="5" t="s">
        <v>979</v>
      </c>
      <c r="E902" s="55" t="s">
        <v>374</v>
      </c>
      <c r="F902" s="55"/>
      <c r="H902" s="24">
        <f>1226746+1226746</f>
        <v>2453492</v>
      </c>
      <c r="I902" s="24">
        <f>G902+H902</f>
        <v>2453492</v>
      </c>
    </row>
    <row r="903" spans="5:9" ht="13.5" thickBot="1">
      <c r="E903" s="56" t="s">
        <v>343</v>
      </c>
      <c r="F903" s="56"/>
      <c r="G903" s="26">
        <f>SUM(G899:G902)</f>
        <v>303354000</v>
      </c>
      <c r="H903" s="26">
        <f>SUM(H899:H902)</f>
        <v>11182169</v>
      </c>
      <c r="I903" s="26">
        <f>G903+H903</f>
        <v>314536169</v>
      </c>
    </row>
    <row r="904" ht="6.75" customHeight="1"/>
    <row r="905" spans="1:6" ht="14.25" customHeight="1">
      <c r="A905" s="8"/>
      <c r="B905" s="9"/>
      <c r="C905" s="8" t="s">
        <v>875</v>
      </c>
      <c r="D905" s="9"/>
      <c r="E905" s="57" t="s">
        <v>876</v>
      </c>
      <c r="F905" s="57"/>
    </row>
    <row r="906" spans="4:9" ht="12.75">
      <c r="D906" s="5" t="s">
        <v>753</v>
      </c>
      <c r="E906" s="55" t="s">
        <v>211</v>
      </c>
      <c r="F906" s="55"/>
      <c r="G906" s="24">
        <v>602980000</v>
      </c>
      <c r="H906" s="24">
        <v>0</v>
      </c>
      <c r="I906" s="24">
        <f>G906+H906</f>
        <v>602980000</v>
      </c>
    </row>
    <row r="907" spans="5:6" ht="151.5" customHeight="1">
      <c r="E907" s="55" t="s">
        <v>129</v>
      </c>
      <c r="F907" s="55"/>
    </row>
    <row r="908" spans="4:9" ht="12.75">
      <c r="D908" s="5" t="s">
        <v>755</v>
      </c>
      <c r="E908" s="55" t="s">
        <v>213</v>
      </c>
      <c r="F908" s="55"/>
      <c r="G908" s="24">
        <f>165550000+100000000</f>
        <v>265550000</v>
      </c>
      <c r="H908" s="24">
        <v>0</v>
      </c>
      <c r="I908" s="24">
        <f>G908+H908</f>
        <v>265550000</v>
      </c>
    </row>
    <row r="909" spans="4:9" ht="25.5" customHeight="1">
      <c r="D909" s="5" t="s">
        <v>756</v>
      </c>
      <c r="E909" s="55" t="s">
        <v>900</v>
      </c>
      <c r="F909" s="55"/>
      <c r="G909" s="24">
        <v>30000000</v>
      </c>
      <c r="H909" s="24">
        <v>0</v>
      </c>
      <c r="I909" s="24">
        <f>G909+H909</f>
        <v>30000000</v>
      </c>
    </row>
    <row r="910" spans="4:9" ht="12.75">
      <c r="D910" s="5" t="s">
        <v>932</v>
      </c>
      <c r="E910" s="55" t="s">
        <v>904</v>
      </c>
      <c r="F910" s="55"/>
      <c r="G910" s="24">
        <f>281000000-301000+109285000-8500000+26124000+28059000-350000-1780000-30000000-28500000+50000000+15644000</f>
        <v>440681000</v>
      </c>
      <c r="H910" s="24">
        <v>0</v>
      </c>
      <c r="I910" s="24">
        <f>G910+H910</f>
        <v>440681000</v>
      </c>
    </row>
    <row r="911" spans="5:6" ht="41.25" customHeight="1">
      <c r="E911" s="63" t="s">
        <v>460</v>
      </c>
      <c r="F911" s="55"/>
    </row>
    <row r="912" spans="4:9" ht="12.75">
      <c r="D912" s="5" t="s">
        <v>940</v>
      </c>
      <c r="E912" s="55" t="s">
        <v>897</v>
      </c>
      <c r="F912" s="55"/>
      <c r="G912" s="24">
        <f>1400000000+200000000</f>
        <v>1600000000</v>
      </c>
      <c r="H912" s="24">
        <v>0</v>
      </c>
      <c r="I912" s="24">
        <f>G912+H912</f>
        <v>1600000000</v>
      </c>
    </row>
    <row r="913" spans="5:6" ht="13.5" thickBot="1">
      <c r="E913" s="55" t="s">
        <v>184</v>
      </c>
      <c r="F913" s="55"/>
    </row>
    <row r="914" spans="5:9" ht="12.75">
      <c r="E914" s="58" t="s">
        <v>706</v>
      </c>
      <c r="F914" s="58"/>
      <c r="G914" s="25"/>
      <c r="H914" s="25"/>
      <c r="I914" s="25"/>
    </row>
    <row r="915" spans="4:9" ht="13.5" thickBot="1">
      <c r="D915" s="5" t="s">
        <v>772</v>
      </c>
      <c r="E915" s="55" t="s">
        <v>773</v>
      </c>
      <c r="F915" s="55"/>
      <c r="G915" s="24">
        <f>SUM(G906:G914)</f>
        <v>2939211000</v>
      </c>
      <c r="I915" s="24">
        <f>G915+H915</f>
        <v>2939211000</v>
      </c>
    </row>
    <row r="916" spans="5:9" ht="13.5" thickBot="1">
      <c r="E916" s="56" t="s">
        <v>707</v>
      </c>
      <c r="F916" s="56"/>
      <c r="G916" s="26">
        <f>SUM(G915:G915)</f>
        <v>2939211000</v>
      </c>
      <c r="H916" s="26">
        <f>SUM(H915:H915)</f>
        <v>0</v>
      </c>
      <c r="I916" s="26">
        <f>G916+H916</f>
        <v>2939211000</v>
      </c>
    </row>
    <row r="918" spans="1:6" ht="27" customHeight="1">
      <c r="A918" s="8"/>
      <c r="B918" s="9"/>
      <c r="C918" s="8" t="s">
        <v>808</v>
      </c>
      <c r="D918" s="9"/>
      <c r="E918" s="57" t="s">
        <v>809</v>
      </c>
      <c r="F918" s="57"/>
    </row>
    <row r="919" spans="4:9" ht="12.75">
      <c r="D919" s="5" t="s">
        <v>930</v>
      </c>
      <c r="E919" s="55" t="s">
        <v>209</v>
      </c>
      <c r="F919" s="55"/>
      <c r="G919" s="24">
        <v>14895000000</v>
      </c>
      <c r="H919" s="24">
        <v>0</v>
      </c>
      <c r="I919" s="24">
        <f>G919+H919</f>
        <v>14895000000</v>
      </c>
    </row>
    <row r="920" spans="5:6" ht="27" customHeight="1" thickBot="1">
      <c r="E920" s="55" t="s">
        <v>185</v>
      </c>
      <c r="F920" s="55"/>
    </row>
    <row r="921" spans="5:9" ht="12.75">
      <c r="E921" s="58" t="s">
        <v>19</v>
      </c>
      <c r="F921" s="58"/>
      <c r="G921" s="25"/>
      <c r="H921" s="25"/>
      <c r="I921" s="25"/>
    </row>
    <row r="922" spans="4:9" ht="13.5" thickBot="1">
      <c r="D922" s="5" t="s">
        <v>772</v>
      </c>
      <c r="E922" s="55" t="s">
        <v>773</v>
      </c>
      <c r="F922" s="55"/>
      <c r="G922" s="24">
        <f>+G919</f>
        <v>14895000000</v>
      </c>
      <c r="I922" s="24">
        <f>G922+H922</f>
        <v>14895000000</v>
      </c>
    </row>
    <row r="923" spans="5:9" ht="13.5" thickBot="1">
      <c r="E923" s="56" t="s">
        <v>20</v>
      </c>
      <c r="F923" s="56"/>
      <c r="G923" s="26">
        <f>SUM(G922:G922)</f>
        <v>14895000000</v>
      </c>
      <c r="H923" s="26">
        <f>SUM(H922:H922)</f>
        <v>0</v>
      </c>
      <c r="I923" s="26">
        <f>G923+H923</f>
        <v>14895000000</v>
      </c>
    </row>
    <row r="924" spans="5:9" ht="12.75">
      <c r="E924" s="58" t="s">
        <v>344</v>
      </c>
      <c r="F924" s="58"/>
      <c r="G924" s="25"/>
      <c r="H924" s="25"/>
      <c r="I924" s="25"/>
    </row>
    <row r="925" spans="4:9" ht="12.75">
      <c r="D925" s="5" t="s">
        <v>772</v>
      </c>
      <c r="E925" s="55" t="s">
        <v>773</v>
      </c>
      <c r="F925" s="55"/>
      <c r="G925" s="24">
        <f>+G922+G915+G899+G876</f>
        <v>69492765000</v>
      </c>
      <c r="H925" s="24">
        <v>0</v>
      </c>
      <c r="I925" s="24">
        <f>G925+H925</f>
        <v>69492765000</v>
      </c>
    </row>
    <row r="926" spans="4:9" ht="12.75">
      <c r="D926" s="5" t="s">
        <v>778</v>
      </c>
      <c r="E926" s="55" t="s">
        <v>779</v>
      </c>
      <c r="F926" s="55"/>
      <c r="H926" s="24">
        <f>+H900</f>
        <v>5747257</v>
      </c>
      <c r="I926" s="24">
        <f>G926+H926</f>
        <v>5747257</v>
      </c>
    </row>
    <row r="927" spans="4:9" ht="12.75">
      <c r="D927" s="5" t="s">
        <v>780</v>
      </c>
      <c r="E927" s="55" t="s">
        <v>781</v>
      </c>
      <c r="F927" s="55"/>
      <c r="G927" s="24">
        <v>0</v>
      </c>
      <c r="H927" s="24">
        <f>+H901</f>
        <v>2981420</v>
      </c>
      <c r="I927" s="24">
        <f>G927+H927</f>
        <v>2981420</v>
      </c>
    </row>
    <row r="928" spans="4:9" ht="13.5" thickBot="1">
      <c r="D928" s="5" t="s">
        <v>979</v>
      </c>
      <c r="E928" s="55" t="s">
        <v>374</v>
      </c>
      <c r="F928" s="55"/>
      <c r="G928" s="24">
        <v>0</v>
      </c>
      <c r="H928" s="24">
        <f>+H902</f>
        <v>2453492</v>
      </c>
      <c r="I928" s="24">
        <f>G928+H928</f>
        <v>2453492</v>
      </c>
    </row>
    <row r="929" spans="5:9" ht="13.5" thickBot="1">
      <c r="E929" s="56" t="s">
        <v>345</v>
      </c>
      <c r="F929" s="56"/>
      <c r="G929" s="26">
        <f>SUM(G925:G928)</f>
        <v>69492765000</v>
      </c>
      <c r="H929" s="26">
        <f>SUM(H925:H928)</f>
        <v>11182169</v>
      </c>
      <c r="I929" s="26">
        <f>G929+H929</f>
        <v>69503947169</v>
      </c>
    </row>
    <row r="931" spans="1:6" ht="12.75">
      <c r="A931" s="8" t="s">
        <v>766</v>
      </c>
      <c r="B931" s="9" t="s">
        <v>476</v>
      </c>
      <c r="C931" s="8"/>
      <c r="D931" s="9"/>
      <c r="E931" s="57" t="s">
        <v>963</v>
      </c>
      <c r="F931" s="57"/>
    </row>
    <row r="932" spans="1:6" ht="27.75" customHeight="1">
      <c r="A932" s="8"/>
      <c r="B932" s="9"/>
      <c r="C932" s="8" t="s">
        <v>767</v>
      </c>
      <c r="D932" s="9"/>
      <c r="E932" s="57" t="s">
        <v>768</v>
      </c>
      <c r="F932" s="57"/>
    </row>
    <row r="933" spans="4:9" ht="12.75">
      <c r="D933" s="5" t="s">
        <v>911</v>
      </c>
      <c r="E933" s="55" t="s">
        <v>199</v>
      </c>
      <c r="F933" s="55"/>
      <c r="G933" s="24">
        <v>788329000</v>
      </c>
      <c r="H933" s="24">
        <v>113979000</v>
      </c>
      <c r="I933" s="24">
        <f aca="true" t="shared" si="40" ref="I933:I949">G933+H933</f>
        <v>902308000</v>
      </c>
    </row>
    <row r="934" spans="4:9" ht="12.75">
      <c r="D934" s="5" t="s">
        <v>912</v>
      </c>
      <c r="E934" s="55" t="s">
        <v>877</v>
      </c>
      <c r="F934" s="55"/>
      <c r="G934" s="24">
        <v>141458000</v>
      </c>
      <c r="H934" s="24">
        <v>20744000</v>
      </c>
      <c r="I934" s="24">
        <f t="shared" si="40"/>
        <v>162202000</v>
      </c>
    </row>
    <row r="935" spans="4:9" ht="12.75">
      <c r="D935" s="5" t="s">
        <v>918</v>
      </c>
      <c r="E935" s="55" t="s">
        <v>878</v>
      </c>
      <c r="F935" s="55"/>
      <c r="G935" s="24">
        <v>3088000</v>
      </c>
      <c r="H935" s="24">
        <v>0</v>
      </c>
      <c r="I935" s="24">
        <f t="shared" si="40"/>
        <v>3088000</v>
      </c>
    </row>
    <row r="936" spans="4:9" ht="12.75">
      <c r="D936" s="5" t="s">
        <v>921</v>
      </c>
      <c r="E936" s="55" t="s">
        <v>880</v>
      </c>
      <c r="F936" s="55"/>
      <c r="G936" s="24">
        <v>4100000</v>
      </c>
      <c r="H936" s="24">
        <v>0</v>
      </c>
      <c r="I936" s="24">
        <f t="shared" si="40"/>
        <v>4100000</v>
      </c>
    </row>
    <row r="937" spans="4:9" ht="12.75">
      <c r="D937" s="5" t="s">
        <v>919</v>
      </c>
      <c r="E937" s="55" t="s">
        <v>200</v>
      </c>
      <c r="F937" s="55"/>
      <c r="G937" s="24">
        <v>62250000</v>
      </c>
      <c r="H937" s="24">
        <v>0</v>
      </c>
      <c r="I937" s="24">
        <f t="shared" si="40"/>
        <v>62250000</v>
      </c>
    </row>
    <row r="938" spans="4:9" ht="12.75">
      <c r="D938" s="5" t="s">
        <v>922</v>
      </c>
      <c r="E938" s="55" t="s">
        <v>201</v>
      </c>
      <c r="F938" s="55"/>
      <c r="G938" s="24">
        <v>0</v>
      </c>
      <c r="H938" s="24">
        <v>150000000</v>
      </c>
      <c r="I938" s="24">
        <f t="shared" si="40"/>
        <v>150000000</v>
      </c>
    </row>
    <row r="939" spans="4:9" ht="12.75">
      <c r="D939" s="5" t="s">
        <v>913</v>
      </c>
      <c r="E939" s="55" t="s">
        <v>881</v>
      </c>
      <c r="F939" s="55"/>
      <c r="G939" s="24">
        <v>123000000</v>
      </c>
      <c r="H939" s="24">
        <v>0</v>
      </c>
      <c r="I939" s="24">
        <f t="shared" si="40"/>
        <v>123000000</v>
      </c>
    </row>
    <row r="940" spans="4:9" ht="12.75">
      <c r="D940" s="5" t="s">
        <v>915</v>
      </c>
      <c r="E940" s="55" t="s">
        <v>879</v>
      </c>
      <c r="F940" s="55"/>
      <c r="G940" s="24">
        <v>19040000</v>
      </c>
      <c r="H940" s="24">
        <v>2000000</v>
      </c>
      <c r="I940" s="24">
        <f t="shared" si="40"/>
        <v>21040000</v>
      </c>
    </row>
    <row r="941" spans="4:9" ht="12.75">
      <c r="D941" s="5" t="s">
        <v>916</v>
      </c>
      <c r="E941" s="55" t="s">
        <v>882</v>
      </c>
      <c r="F941" s="55"/>
      <c r="G941" s="24">
        <v>6980000</v>
      </c>
      <c r="H941" s="24">
        <v>104624000</v>
      </c>
      <c r="I941" s="24">
        <f t="shared" si="40"/>
        <v>111604000</v>
      </c>
    </row>
    <row r="942" spans="4:9" ht="12.75">
      <c r="D942" s="5" t="s">
        <v>923</v>
      </c>
      <c r="E942" s="55" t="s">
        <v>883</v>
      </c>
      <c r="F942" s="55"/>
      <c r="G942" s="24">
        <v>1800000</v>
      </c>
      <c r="H942" s="24">
        <v>0</v>
      </c>
      <c r="I942" s="24">
        <f t="shared" si="40"/>
        <v>1800000</v>
      </c>
    </row>
    <row r="943" spans="4:9" ht="12.75">
      <c r="D943" s="5" t="s">
        <v>924</v>
      </c>
      <c r="E943" s="55" t="s">
        <v>203</v>
      </c>
      <c r="F943" s="55"/>
      <c r="G943" s="24">
        <v>19250000</v>
      </c>
      <c r="H943" s="24">
        <v>28123000</v>
      </c>
      <c r="I943" s="24">
        <f t="shared" si="40"/>
        <v>47373000</v>
      </c>
    </row>
    <row r="944" spans="4:9" ht="12.75">
      <c r="D944" s="5" t="s">
        <v>925</v>
      </c>
      <c r="E944" s="55" t="s">
        <v>884</v>
      </c>
      <c r="F944" s="55"/>
      <c r="G944" s="24">
        <v>100000000</v>
      </c>
      <c r="H944" s="24">
        <v>1986000</v>
      </c>
      <c r="I944" s="24">
        <f t="shared" si="40"/>
        <v>101986000</v>
      </c>
    </row>
    <row r="945" spans="4:9" ht="12.75">
      <c r="D945" s="5" t="s">
        <v>754</v>
      </c>
      <c r="E945" s="55" t="s">
        <v>212</v>
      </c>
      <c r="F945" s="55"/>
      <c r="G945" s="24">
        <v>5300000</v>
      </c>
      <c r="H945" s="24">
        <v>0</v>
      </c>
      <c r="I945" s="24">
        <f t="shared" si="40"/>
        <v>5300000</v>
      </c>
    </row>
    <row r="946" spans="4:9" ht="12.75">
      <c r="D946" s="5" t="s">
        <v>755</v>
      </c>
      <c r="E946" s="55" t="s">
        <v>213</v>
      </c>
      <c r="F946" s="55"/>
      <c r="G946" s="24">
        <v>53500000</v>
      </c>
      <c r="H946" s="24">
        <v>0</v>
      </c>
      <c r="I946" s="24">
        <f t="shared" si="40"/>
        <v>53500000</v>
      </c>
    </row>
    <row r="947" spans="4:9" ht="12.75">
      <c r="D947" s="5" t="s">
        <v>926</v>
      </c>
      <c r="E947" s="55" t="s">
        <v>885</v>
      </c>
      <c r="F947" s="55"/>
      <c r="G947" s="24">
        <v>78750000</v>
      </c>
      <c r="H947" s="24">
        <v>0</v>
      </c>
      <c r="I947" s="24">
        <f t="shared" si="40"/>
        <v>78750000</v>
      </c>
    </row>
    <row r="948" spans="4:9" ht="12.75">
      <c r="D948" s="5" t="s">
        <v>927</v>
      </c>
      <c r="E948" s="55" t="s">
        <v>886</v>
      </c>
      <c r="F948" s="55"/>
      <c r="G948" s="24">
        <v>55000000</v>
      </c>
      <c r="H948" s="24">
        <v>150965862.9</v>
      </c>
      <c r="I948" s="24">
        <f t="shared" si="40"/>
        <v>205965862.9</v>
      </c>
    </row>
    <row r="949" spans="4:9" ht="13.5" thickBot="1">
      <c r="D949" s="5" t="s">
        <v>936</v>
      </c>
      <c r="E949" s="55" t="s">
        <v>889</v>
      </c>
      <c r="F949" s="55"/>
      <c r="G949" s="24">
        <v>25000000</v>
      </c>
      <c r="H949" s="24">
        <v>0</v>
      </c>
      <c r="I949" s="24">
        <f t="shared" si="40"/>
        <v>25000000</v>
      </c>
    </row>
    <row r="950" spans="5:9" ht="12.75">
      <c r="E950" s="58" t="s">
        <v>342</v>
      </c>
      <c r="F950" s="58"/>
      <c r="G950" s="25"/>
      <c r="H950" s="25"/>
      <c r="I950" s="25"/>
    </row>
    <row r="951" spans="4:9" ht="12.75">
      <c r="D951" s="5" t="s">
        <v>772</v>
      </c>
      <c r="E951" s="55" t="s">
        <v>773</v>
      </c>
      <c r="F951" s="55"/>
      <c r="G951" s="24">
        <f>SUM(G933:G950)</f>
        <v>1486845000</v>
      </c>
      <c r="I951" s="24">
        <f>G951+H951</f>
        <v>1486845000</v>
      </c>
    </row>
    <row r="952" spans="4:9" ht="12.75">
      <c r="D952" s="5" t="s">
        <v>784</v>
      </c>
      <c r="E952" s="55" t="s">
        <v>785</v>
      </c>
      <c r="F952" s="55"/>
      <c r="H952" s="24">
        <v>265455000</v>
      </c>
      <c r="I952" s="24">
        <f>G952+H952</f>
        <v>265455000</v>
      </c>
    </row>
    <row r="953" spans="4:9" ht="12.75">
      <c r="D953" s="5" t="s">
        <v>790</v>
      </c>
      <c r="E953" s="55" t="s">
        <v>791</v>
      </c>
      <c r="F953" s="55"/>
      <c r="H953" s="24">
        <v>2750000</v>
      </c>
      <c r="I953" s="24">
        <f>G953+H953</f>
        <v>2750000</v>
      </c>
    </row>
    <row r="954" spans="4:9" ht="13.5" thickBot="1">
      <c r="D954" s="5" t="s">
        <v>825</v>
      </c>
      <c r="E954" s="55" t="s">
        <v>905</v>
      </c>
      <c r="F954" s="55"/>
      <c r="H954" s="24">
        <v>304216862.9</v>
      </c>
      <c r="I954" s="24">
        <f>G954+H954</f>
        <v>304216862.9</v>
      </c>
    </row>
    <row r="955" spans="5:9" ht="13.5" thickBot="1">
      <c r="E955" s="56" t="s">
        <v>343</v>
      </c>
      <c r="F955" s="56"/>
      <c r="G955" s="26">
        <f>SUM(G951:G954)</f>
        <v>1486845000</v>
      </c>
      <c r="H955" s="26">
        <f>SUM(H951:H954)</f>
        <v>572421862.9</v>
      </c>
      <c r="I955" s="26">
        <f>G955+H955</f>
        <v>2059266862.9</v>
      </c>
    </row>
    <row r="956" spans="5:9" ht="12.75">
      <c r="E956" s="58" t="s">
        <v>21</v>
      </c>
      <c r="F956" s="58"/>
      <c r="G956" s="25"/>
      <c r="H956" s="25"/>
      <c r="I956" s="25"/>
    </row>
    <row r="957" spans="4:9" ht="12.75">
      <c r="D957" s="5" t="s">
        <v>772</v>
      </c>
      <c r="E957" s="55" t="s">
        <v>773</v>
      </c>
      <c r="F957" s="55"/>
      <c r="G957" s="24">
        <f>+G951</f>
        <v>1486845000</v>
      </c>
      <c r="H957" s="24">
        <v>0</v>
      </c>
      <c r="I957" s="24">
        <f>G957+H957</f>
        <v>1486845000</v>
      </c>
    </row>
    <row r="958" spans="4:9" ht="12.75">
      <c r="D958" s="5" t="s">
        <v>784</v>
      </c>
      <c r="E958" s="55" t="s">
        <v>785</v>
      </c>
      <c r="F958" s="55"/>
      <c r="G958" s="24">
        <v>0</v>
      </c>
      <c r="H958" s="24">
        <f>+H952</f>
        <v>265455000</v>
      </c>
      <c r="I958" s="24">
        <f>G958+H958</f>
        <v>265455000</v>
      </c>
    </row>
    <row r="959" spans="4:9" ht="12.75">
      <c r="D959" s="5" t="s">
        <v>790</v>
      </c>
      <c r="E959" s="55" t="s">
        <v>791</v>
      </c>
      <c r="F959" s="55"/>
      <c r="G959" s="24">
        <v>0</v>
      </c>
      <c r="H959" s="24">
        <f>+H953</f>
        <v>2750000</v>
      </c>
      <c r="I959" s="24">
        <f>G959+H959</f>
        <v>2750000</v>
      </c>
    </row>
    <row r="960" spans="4:9" ht="13.5" thickBot="1">
      <c r="D960" s="5" t="s">
        <v>825</v>
      </c>
      <c r="E960" s="55" t="s">
        <v>905</v>
      </c>
      <c r="F960" s="55"/>
      <c r="G960" s="24">
        <v>0</v>
      </c>
      <c r="H960" s="24">
        <f>+H954</f>
        <v>304216862.9</v>
      </c>
      <c r="I960" s="24">
        <f>G960+H960</f>
        <v>304216862.9</v>
      </c>
    </row>
    <row r="961" spans="5:9" ht="13.5" thickBot="1">
      <c r="E961" s="56" t="s">
        <v>22</v>
      </c>
      <c r="F961" s="56"/>
      <c r="G961" s="26">
        <f>SUM(G957:G960)</f>
        <v>1486845000</v>
      </c>
      <c r="H961" s="26">
        <f>SUM(H957:H960)</f>
        <v>572421862.9</v>
      </c>
      <c r="I961" s="26">
        <f>G961+H961</f>
        <v>2059266862.9</v>
      </c>
    </row>
    <row r="963" spans="1:6" ht="12.75">
      <c r="A963" s="8" t="s">
        <v>766</v>
      </c>
      <c r="B963" s="9" t="s">
        <v>477</v>
      </c>
      <c r="C963" s="8"/>
      <c r="D963" s="9"/>
      <c r="E963" s="57" t="s">
        <v>964</v>
      </c>
      <c r="F963" s="57"/>
    </row>
    <row r="964" spans="1:6" ht="27.75" customHeight="1">
      <c r="A964" s="8"/>
      <c r="B964" s="9"/>
      <c r="C964" s="8" t="s">
        <v>767</v>
      </c>
      <c r="D964" s="9"/>
      <c r="E964" s="57" t="s">
        <v>768</v>
      </c>
      <c r="F964" s="57"/>
    </row>
    <row r="965" spans="4:9" ht="12.75">
      <c r="D965" s="5" t="s">
        <v>911</v>
      </c>
      <c r="E965" s="55" t="s">
        <v>199</v>
      </c>
      <c r="F965" s="55"/>
      <c r="G965" s="24">
        <v>2094436000</v>
      </c>
      <c r="H965" s="24">
        <v>126485000</v>
      </c>
      <c r="I965" s="24">
        <f aca="true" t="shared" si="41" ref="I965:I981">G965+H965</f>
        <v>2220921000</v>
      </c>
    </row>
    <row r="966" spans="4:9" ht="12.75">
      <c r="D966" s="5" t="s">
        <v>912</v>
      </c>
      <c r="E966" s="55" t="s">
        <v>877</v>
      </c>
      <c r="F966" s="55"/>
      <c r="G966" s="24">
        <v>381367000</v>
      </c>
      <c r="H966" s="24">
        <v>21950000</v>
      </c>
      <c r="I966" s="24">
        <f t="shared" si="41"/>
        <v>403317000</v>
      </c>
    </row>
    <row r="967" spans="4:9" ht="12.75">
      <c r="D967" s="5" t="s">
        <v>918</v>
      </c>
      <c r="E967" s="55" t="s">
        <v>878</v>
      </c>
      <c r="F967" s="55"/>
      <c r="G967" s="24">
        <v>0</v>
      </c>
      <c r="H967" s="24">
        <v>20743215.91</v>
      </c>
      <c r="I967" s="24">
        <f t="shared" si="41"/>
        <v>20743215.91</v>
      </c>
    </row>
    <row r="968" spans="4:9" ht="12.75">
      <c r="D968" s="5" t="s">
        <v>921</v>
      </c>
      <c r="E968" s="55" t="s">
        <v>880</v>
      </c>
      <c r="F968" s="55"/>
      <c r="G968" s="24">
        <v>0</v>
      </c>
      <c r="H968" s="24">
        <v>22115000</v>
      </c>
      <c r="I968" s="24">
        <f t="shared" si="41"/>
        <v>22115000</v>
      </c>
    </row>
    <row r="969" spans="4:9" ht="12.75">
      <c r="D969" s="5" t="s">
        <v>919</v>
      </c>
      <c r="E969" s="55" t="s">
        <v>200</v>
      </c>
      <c r="F969" s="55"/>
      <c r="G969" s="24">
        <v>22500000</v>
      </c>
      <c r="H969" s="24">
        <v>25135000</v>
      </c>
      <c r="I969" s="24">
        <f t="shared" si="41"/>
        <v>47635000</v>
      </c>
    </row>
    <row r="970" spans="4:9" ht="12.75">
      <c r="D970" s="5" t="s">
        <v>922</v>
      </c>
      <c r="E970" s="55" t="s">
        <v>201</v>
      </c>
      <c r="F970" s="55"/>
      <c r="G970" s="24">
        <v>0</v>
      </c>
      <c r="H970" s="24">
        <v>75000000</v>
      </c>
      <c r="I970" s="24">
        <f t="shared" si="41"/>
        <v>75000000</v>
      </c>
    </row>
    <row r="971" spans="4:9" ht="12.75">
      <c r="D971" s="5" t="s">
        <v>913</v>
      </c>
      <c r="E971" s="55" t="s">
        <v>881</v>
      </c>
      <c r="F971" s="55"/>
      <c r="G971" s="24">
        <v>133930000</v>
      </c>
      <c r="H971" s="24">
        <v>257073249.8</v>
      </c>
      <c r="I971" s="24">
        <f t="shared" si="41"/>
        <v>391003249.8</v>
      </c>
    </row>
    <row r="972" spans="4:9" ht="12.75">
      <c r="D972" s="5" t="s">
        <v>915</v>
      </c>
      <c r="E972" s="55" t="s">
        <v>879</v>
      </c>
      <c r="F972" s="55"/>
      <c r="G972" s="24">
        <f>30577000+10000000</f>
        <v>40577000</v>
      </c>
      <c r="H972" s="24">
        <v>12610000</v>
      </c>
      <c r="I972" s="24">
        <f t="shared" si="41"/>
        <v>53187000</v>
      </c>
    </row>
    <row r="973" spans="4:9" ht="12.75">
      <c r="D973" s="5" t="s">
        <v>916</v>
      </c>
      <c r="E973" s="55" t="s">
        <v>882</v>
      </c>
      <c r="F973" s="55"/>
      <c r="G973" s="24">
        <v>41600000</v>
      </c>
      <c r="H973" s="24">
        <v>75132754.42</v>
      </c>
      <c r="I973" s="24">
        <f t="shared" si="41"/>
        <v>116732754.42</v>
      </c>
    </row>
    <row r="974" spans="4:9" ht="12.75">
      <c r="D974" s="5" t="s">
        <v>923</v>
      </c>
      <c r="E974" s="55" t="s">
        <v>883</v>
      </c>
      <c r="F974" s="55"/>
      <c r="G974" s="24">
        <v>0</v>
      </c>
      <c r="H974" s="24">
        <v>13480000</v>
      </c>
      <c r="I974" s="24">
        <f t="shared" si="41"/>
        <v>13480000</v>
      </c>
    </row>
    <row r="975" spans="4:9" ht="12.75">
      <c r="D975" s="5" t="s">
        <v>924</v>
      </c>
      <c r="E975" s="55" t="s">
        <v>203</v>
      </c>
      <c r="F975" s="55"/>
      <c r="G975" s="24">
        <v>21600000</v>
      </c>
      <c r="H975" s="24">
        <v>41505000</v>
      </c>
      <c r="I975" s="24">
        <f t="shared" si="41"/>
        <v>63105000</v>
      </c>
    </row>
    <row r="976" spans="4:9" ht="12.75">
      <c r="D976" s="5" t="s">
        <v>925</v>
      </c>
      <c r="E976" s="55" t="s">
        <v>884</v>
      </c>
      <c r="F976" s="55"/>
      <c r="G976" s="24">
        <v>107000000</v>
      </c>
      <c r="H976" s="24">
        <v>119543677.8</v>
      </c>
      <c r="I976" s="24">
        <f t="shared" si="41"/>
        <v>226543677.8</v>
      </c>
    </row>
    <row r="977" spans="4:9" ht="12.75">
      <c r="D977" s="5" t="s">
        <v>754</v>
      </c>
      <c r="E977" s="55" t="s">
        <v>212</v>
      </c>
      <c r="F977" s="55"/>
      <c r="G977" s="24">
        <v>30000000</v>
      </c>
      <c r="H977" s="24">
        <v>2270000</v>
      </c>
      <c r="I977" s="24">
        <f t="shared" si="41"/>
        <v>32270000</v>
      </c>
    </row>
    <row r="978" spans="4:9" ht="12.75">
      <c r="D978" s="5" t="s">
        <v>755</v>
      </c>
      <c r="E978" s="55" t="s">
        <v>213</v>
      </c>
      <c r="F978" s="55"/>
      <c r="G978" s="24">
        <v>7500000</v>
      </c>
      <c r="H978" s="24">
        <v>2500000</v>
      </c>
      <c r="I978" s="24">
        <f t="shared" si="41"/>
        <v>10000000</v>
      </c>
    </row>
    <row r="979" spans="4:9" ht="12.75">
      <c r="D979" s="5" t="s">
        <v>926</v>
      </c>
      <c r="E979" s="55" t="s">
        <v>885</v>
      </c>
      <c r="F979" s="55"/>
      <c r="G979" s="24">
        <v>23000000</v>
      </c>
      <c r="H979" s="24">
        <v>44876000</v>
      </c>
      <c r="I979" s="24">
        <f t="shared" si="41"/>
        <v>67876000</v>
      </c>
    </row>
    <row r="980" spans="4:9" ht="12.75">
      <c r="D980" s="5" t="s">
        <v>927</v>
      </c>
      <c r="E980" s="55" t="s">
        <v>886</v>
      </c>
      <c r="F980" s="55"/>
      <c r="G980" s="24">
        <v>25530000</v>
      </c>
      <c r="H980" s="24">
        <v>20800000</v>
      </c>
      <c r="I980" s="24">
        <f t="shared" si="41"/>
        <v>46330000</v>
      </c>
    </row>
    <row r="981" spans="4:9" ht="13.5" thickBot="1">
      <c r="D981" s="5" t="s">
        <v>214</v>
      </c>
      <c r="E981" s="55" t="s">
        <v>215</v>
      </c>
      <c r="F981" s="55"/>
      <c r="G981" s="24">
        <v>0</v>
      </c>
      <c r="H981" s="24">
        <v>5638000</v>
      </c>
      <c r="I981" s="24">
        <f t="shared" si="41"/>
        <v>5638000</v>
      </c>
    </row>
    <row r="982" spans="5:9" ht="12.75">
      <c r="E982" s="58" t="s">
        <v>342</v>
      </c>
      <c r="F982" s="58"/>
      <c r="G982" s="25"/>
      <c r="H982" s="25"/>
      <c r="I982" s="25"/>
    </row>
    <row r="983" spans="4:9" ht="12.75">
      <c r="D983" s="5" t="s">
        <v>772</v>
      </c>
      <c r="E983" s="55" t="s">
        <v>773</v>
      </c>
      <c r="F983" s="55"/>
      <c r="G983" s="24">
        <f>SUM(G965:G982)</f>
        <v>2929040000</v>
      </c>
      <c r="I983" s="24">
        <f>G983+H983</f>
        <v>2929040000</v>
      </c>
    </row>
    <row r="984" spans="4:9" ht="12.75">
      <c r="D984" s="5" t="s">
        <v>784</v>
      </c>
      <c r="E984" s="55" t="s">
        <v>785</v>
      </c>
      <c r="F984" s="55"/>
      <c r="H984" s="24">
        <v>584695000</v>
      </c>
      <c r="I984" s="24">
        <f>G984+H984</f>
        <v>584695000</v>
      </c>
    </row>
    <row r="985" spans="4:9" ht="13.5" thickBot="1">
      <c r="D985" s="5" t="s">
        <v>825</v>
      </c>
      <c r="E985" s="55" t="s">
        <v>905</v>
      </c>
      <c r="F985" s="55"/>
      <c r="H985" s="24">
        <v>302161897.93</v>
      </c>
      <c r="I985" s="24">
        <f>G985+H985</f>
        <v>302161897.93</v>
      </c>
    </row>
    <row r="986" spans="5:9" ht="13.5" thickBot="1">
      <c r="E986" s="56" t="s">
        <v>343</v>
      </c>
      <c r="F986" s="56"/>
      <c r="G986" s="26">
        <f>SUM(G983:G985)</f>
        <v>2929040000</v>
      </c>
      <c r="H986" s="26">
        <f>SUM(H983:H985)</f>
        <v>886856897.9300001</v>
      </c>
      <c r="I986" s="26">
        <f>G986+H986</f>
        <v>3815896897.9300003</v>
      </c>
    </row>
    <row r="987" spans="5:9" ht="12.75">
      <c r="E987" s="58" t="s">
        <v>478</v>
      </c>
      <c r="F987" s="58"/>
      <c r="G987" s="25"/>
      <c r="H987" s="25"/>
      <c r="I987" s="25"/>
    </row>
    <row r="988" spans="4:9" ht="12.75">
      <c r="D988" s="5" t="s">
        <v>772</v>
      </c>
      <c r="E988" s="55" t="s">
        <v>773</v>
      </c>
      <c r="F988" s="55"/>
      <c r="G988" s="24">
        <f>+G983</f>
        <v>2929040000</v>
      </c>
      <c r="H988" s="24">
        <v>0</v>
      </c>
      <c r="I988" s="24">
        <f>G988+H988</f>
        <v>2929040000</v>
      </c>
    </row>
    <row r="989" spans="4:9" ht="12.75">
      <c r="D989" s="5" t="s">
        <v>784</v>
      </c>
      <c r="E989" s="55" t="s">
        <v>785</v>
      </c>
      <c r="F989" s="55"/>
      <c r="G989" s="24">
        <v>0</v>
      </c>
      <c r="H989" s="24">
        <f>+H984</f>
        <v>584695000</v>
      </c>
      <c r="I989" s="24">
        <f>G989+H989</f>
        <v>584695000</v>
      </c>
    </row>
    <row r="990" spans="4:9" ht="13.5" thickBot="1">
      <c r="D990" s="5" t="s">
        <v>825</v>
      </c>
      <c r="E990" s="55" t="s">
        <v>905</v>
      </c>
      <c r="F990" s="55"/>
      <c r="G990" s="24">
        <v>0</v>
      </c>
      <c r="H990" s="24">
        <f>+H985</f>
        <v>302161897.93</v>
      </c>
      <c r="I990" s="24">
        <f>G990+H990</f>
        <v>302161897.93</v>
      </c>
    </row>
    <row r="991" spans="5:9" ht="13.5" thickBot="1">
      <c r="E991" s="56" t="s">
        <v>479</v>
      </c>
      <c r="F991" s="56"/>
      <c r="G991" s="26">
        <f>SUM(G988:G990)</f>
        <v>2929040000</v>
      </c>
      <c r="H991" s="26">
        <f>SUM(H988:H990)</f>
        <v>886856897.9300001</v>
      </c>
      <c r="I991" s="26">
        <f>G991+H991</f>
        <v>3815896897.9300003</v>
      </c>
    </row>
    <row r="993" spans="1:6" ht="12.75">
      <c r="A993" s="8" t="s">
        <v>766</v>
      </c>
      <c r="B993" s="9" t="s">
        <v>480</v>
      </c>
      <c r="C993" s="8"/>
      <c r="D993" s="9"/>
      <c r="E993" s="57" t="s">
        <v>965</v>
      </c>
      <c r="F993" s="57"/>
    </row>
    <row r="994" spans="1:6" ht="28.5" customHeight="1">
      <c r="A994" s="8"/>
      <c r="B994" s="9"/>
      <c r="C994" s="8" t="s">
        <v>767</v>
      </c>
      <c r="D994" s="9"/>
      <c r="E994" s="57" t="s">
        <v>768</v>
      </c>
      <c r="F994" s="57"/>
    </row>
    <row r="995" spans="4:9" ht="12.75">
      <c r="D995" s="5" t="s">
        <v>911</v>
      </c>
      <c r="E995" s="55" t="s">
        <v>199</v>
      </c>
      <c r="F995" s="55"/>
      <c r="G995" s="24">
        <v>0</v>
      </c>
      <c r="H995" s="24">
        <v>421886000</v>
      </c>
      <c r="I995" s="24">
        <f aca="true" t="shared" si="42" ref="I995:I1009">G995+H995</f>
        <v>421886000</v>
      </c>
    </row>
    <row r="996" spans="4:9" ht="12.75">
      <c r="D996" s="5" t="s">
        <v>912</v>
      </c>
      <c r="E996" s="55" t="s">
        <v>877</v>
      </c>
      <c r="F996" s="55"/>
      <c r="G996" s="24">
        <v>0</v>
      </c>
      <c r="H996" s="24">
        <v>78438000</v>
      </c>
      <c r="I996" s="24">
        <f t="shared" si="42"/>
        <v>78438000</v>
      </c>
    </row>
    <row r="997" spans="4:9" ht="12.75">
      <c r="D997" s="5" t="s">
        <v>918</v>
      </c>
      <c r="E997" s="55" t="s">
        <v>878</v>
      </c>
      <c r="F997" s="55"/>
      <c r="G997" s="24">
        <v>0</v>
      </c>
      <c r="H997" s="24">
        <v>1080000</v>
      </c>
      <c r="I997" s="24">
        <f t="shared" si="42"/>
        <v>1080000</v>
      </c>
    </row>
    <row r="998" spans="4:9" ht="12.75">
      <c r="D998" s="5" t="s">
        <v>921</v>
      </c>
      <c r="E998" s="55" t="s">
        <v>880</v>
      </c>
      <c r="F998" s="55"/>
      <c r="G998" s="24">
        <v>0</v>
      </c>
      <c r="H998" s="24">
        <v>3240000</v>
      </c>
      <c r="I998" s="24">
        <f t="shared" si="42"/>
        <v>3240000</v>
      </c>
    </row>
    <row r="999" spans="4:9" ht="12.75">
      <c r="D999" s="5" t="s">
        <v>919</v>
      </c>
      <c r="E999" s="55" t="s">
        <v>200</v>
      </c>
      <c r="F999" s="55"/>
      <c r="G999" s="24">
        <v>0</v>
      </c>
      <c r="H999" s="24">
        <v>12500000</v>
      </c>
      <c r="I999" s="24">
        <f t="shared" si="42"/>
        <v>12500000</v>
      </c>
    </row>
    <row r="1000" spans="4:9" ht="12.75">
      <c r="D1000" s="5" t="s">
        <v>922</v>
      </c>
      <c r="E1000" s="55" t="s">
        <v>201</v>
      </c>
      <c r="F1000" s="55"/>
      <c r="G1000" s="24">
        <v>0</v>
      </c>
      <c r="H1000" s="24">
        <v>36696000</v>
      </c>
      <c r="I1000" s="24">
        <f t="shared" si="42"/>
        <v>36696000</v>
      </c>
    </row>
    <row r="1001" spans="4:9" ht="12.75">
      <c r="D1001" s="5" t="s">
        <v>913</v>
      </c>
      <c r="E1001" s="55" t="s">
        <v>881</v>
      </c>
      <c r="F1001" s="55"/>
      <c r="G1001" s="24">
        <v>0</v>
      </c>
      <c r="H1001" s="24">
        <v>184050000</v>
      </c>
      <c r="I1001" s="24">
        <f t="shared" si="42"/>
        <v>184050000</v>
      </c>
    </row>
    <row r="1002" spans="4:9" ht="12.75">
      <c r="D1002" s="5" t="s">
        <v>915</v>
      </c>
      <c r="E1002" s="55" t="s">
        <v>879</v>
      </c>
      <c r="F1002" s="55"/>
      <c r="G1002" s="24">
        <v>0</v>
      </c>
      <c r="H1002" s="24">
        <v>9376000</v>
      </c>
      <c r="I1002" s="24">
        <f t="shared" si="42"/>
        <v>9376000</v>
      </c>
    </row>
    <row r="1003" spans="4:9" ht="12.75">
      <c r="D1003" s="5" t="s">
        <v>916</v>
      </c>
      <c r="E1003" s="55" t="s">
        <v>882</v>
      </c>
      <c r="F1003" s="55"/>
      <c r="G1003" s="24">
        <v>0</v>
      </c>
      <c r="H1003" s="24">
        <v>26392000</v>
      </c>
      <c r="I1003" s="24">
        <f t="shared" si="42"/>
        <v>26392000</v>
      </c>
    </row>
    <row r="1004" spans="4:9" ht="12.75">
      <c r="D1004" s="5" t="s">
        <v>924</v>
      </c>
      <c r="E1004" s="55" t="s">
        <v>203</v>
      </c>
      <c r="F1004" s="55"/>
      <c r="G1004" s="24">
        <v>0</v>
      </c>
      <c r="H1004" s="24">
        <v>12250000</v>
      </c>
      <c r="I1004" s="24">
        <f t="shared" si="42"/>
        <v>12250000</v>
      </c>
    </row>
    <row r="1005" spans="4:9" ht="12.75">
      <c r="D1005" s="5" t="s">
        <v>925</v>
      </c>
      <c r="E1005" s="55" t="s">
        <v>884</v>
      </c>
      <c r="F1005" s="55"/>
      <c r="G1005" s="24">
        <v>0</v>
      </c>
      <c r="H1005" s="24">
        <v>111026000</v>
      </c>
      <c r="I1005" s="24">
        <f t="shared" si="42"/>
        <v>111026000</v>
      </c>
    </row>
    <row r="1006" spans="4:9" ht="12.75">
      <c r="D1006" s="5" t="s">
        <v>754</v>
      </c>
      <c r="E1006" s="55" t="s">
        <v>212</v>
      </c>
      <c r="F1006" s="55"/>
      <c r="G1006" s="24">
        <v>0</v>
      </c>
      <c r="H1006" s="24">
        <v>1500000</v>
      </c>
      <c r="I1006" s="24">
        <f t="shared" si="42"/>
        <v>1500000</v>
      </c>
    </row>
    <row r="1007" spans="4:9" ht="12.75">
      <c r="D1007" s="5" t="s">
        <v>755</v>
      </c>
      <c r="E1007" s="55" t="s">
        <v>213</v>
      </c>
      <c r="F1007" s="55"/>
      <c r="G1007" s="24">
        <v>0</v>
      </c>
      <c r="H1007" s="24">
        <v>104000</v>
      </c>
      <c r="I1007" s="24">
        <f t="shared" si="42"/>
        <v>104000</v>
      </c>
    </row>
    <row r="1008" spans="4:9" ht="12.75">
      <c r="D1008" s="5" t="s">
        <v>927</v>
      </c>
      <c r="E1008" s="55" t="s">
        <v>886</v>
      </c>
      <c r="F1008" s="55"/>
      <c r="G1008" s="24">
        <v>0</v>
      </c>
      <c r="H1008" s="24">
        <v>16328000</v>
      </c>
      <c r="I1008" s="24">
        <f t="shared" si="42"/>
        <v>16328000</v>
      </c>
    </row>
    <row r="1009" spans="4:9" ht="13.5" thickBot="1">
      <c r="D1009" s="5" t="s">
        <v>214</v>
      </c>
      <c r="E1009" s="55" t="s">
        <v>215</v>
      </c>
      <c r="F1009" s="55"/>
      <c r="G1009" s="24">
        <v>0</v>
      </c>
      <c r="H1009" s="24">
        <v>3414000</v>
      </c>
      <c r="I1009" s="24">
        <f t="shared" si="42"/>
        <v>3414000</v>
      </c>
    </row>
    <row r="1010" spans="5:9" ht="12.75">
      <c r="E1010" s="58" t="s">
        <v>342</v>
      </c>
      <c r="F1010" s="58"/>
      <c r="G1010" s="25"/>
      <c r="H1010" s="25"/>
      <c r="I1010" s="25"/>
    </row>
    <row r="1011" spans="4:9" ht="13.5" thickBot="1">
      <c r="D1011" s="5" t="s">
        <v>784</v>
      </c>
      <c r="E1011" s="55" t="s">
        <v>785</v>
      </c>
      <c r="F1011" s="55"/>
      <c r="H1011" s="24">
        <f>SUM(H995:H1010)</f>
        <v>918280000</v>
      </c>
      <c r="I1011" s="24">
        <f>G1011+H1011</f>
        <v>918280000</v>
      </c>
    </row>
    <row r="1012" spans="5:9" ht="13.5" thickBot="1">
      <c r="E1012" s="56" t="s">
        <v>343</v>
      </c>
      <c r="F1012" s="56"/>
      <c r="G1012" s="26">
        <f>SUM(G1011:G1011)</f>
        <v>0</v>
      </c>
      <c r="H1012" s="26">
        <f>SUM(H1011:H1011)</f>
        <v>918280000</v>
      </c>
      <c r="I1012" s="26">
        <f>G1012+H1012</f>
        <v>918280000</v>
      </c>
    </row>
    <row r="1014" spans="1:6" ht="12.75">
      <c r="A1014" s="8"/>
      <c r="B1014" s="9"/>
      <c r="C1014" s="8" t="s">
        <v>907</v>
      </c>
      <c r="D1014" s="9"/>
      <c r="E1014" s="57" t="s">
        <v>908</v>
      </c>
      <c r="F1014" s="57"/>
    </row>
    <row r="1015" spans="4:9" ht="13.5" thickBot="1">
      <c r="D1015" s="5" t="s">
        <v>928</v>
      </c>
      <c r="E1015" s="55" t="s">
        <v>890</v>
      </c>
      <c r="F1015" s="55"/>
      <c r="G1015" s="24">
        <v>1500000</v>
      </c>
      <c r="H1015" s="24">
        <v>200000000</v>
      </c>
      <c r="I1015" s="24">
        <f>G1015+H1015</f>
        <v>201500000</v>
      </c>
    </row>
    <row r="1016" spans="5:9" ht="12.75">
      <c r="E1016" s="58" t="s">
        <v>264</v>
      </c>
      <c r="F1016" s="58"/>
      <c r="G1016" s="25"/>
      <c r="H1016" s="25"/>
      <c r="I1016" s="25"/>
    </row>
    <row r="1017" spans="4:9" ht="12.75">
      <c r="D1017" s="5" t="s">
        <v>772</v>
      </c>
      <c r="E1017" s="55" t="s">
        <v>773</v>
      </c>
      <c r="F1017" s="55"/>
      <c r="G1017" s="24">
        <f>+G1015</f>
        <v>1500000</v>
      </c>
      <c r="I1017" s="24">
        <f>G1017+H1017</f>
        <v>1500000</v>
      </c>
    </row>
    <row r="1018" spans="4:9" ht="13.5" thickBot="1">
      <c r="D1018" s="5" t="s">
        <v>830</v>
      </c>
      <c r="E1018" s="55" t="s">
        <v>906</v>
      </c>
      <c r="F1018" s="55"/>
      <c r="H1018" s="24">
        <f>+H1015</f>
        <v>200000000</v>
      </c>
      <c r="I1018" s="24">
        <f>G1018+H1018</f>
        <v>200000000</v>
      </c>
    </row>
    <row r="1019" spans="5:9" ht="13.5" thickBot="1">
      <c r="E1019" s="56" t="s">
        <v>265</v>
      </c>
      <c r="F1019" s="56"/>
      <c r="G1019" s="26">
        <f>SUM(G1017:G1018)</f>
        <v>1500000</v>
      </c>
      <c r="H1019" s="26">
        <f>SUM(H1017:H1018)</f>
        <v>200000000</v>
      </c>
      <c r="I1019" s="26">
        <f>G1019+H1019</f>
        <v>201500000</v>
      </c>
    </row>
    <row r="1021" spans="1:6" ht="12.75">
      <c r="A1021" s="8"/>
      <c r="B1021" s="9"/>
      <c r="C1021" s="8" t="s">
        <v>798</v>
      </c>
      <c r="D1021" s="9"/>
      <c r="E1021" s="57" t="s">
        <v>799</v>
      </c>
      <c r="F1021" s="57"/>
    </row>
    <row r="1022" spans="4:9" ht="12.75">
      <c r="D1022" s="5" t="s">
        <v>746</v>
      </c>
      <c r="E1022" s="55" t="s">
        <v>206</v>
      </c>
      <c r="F1022" s="55"/>
      <c r="G1022" s="24">
        <v>1576322000</v>
      </c>
      <c r="H1022" s="24">
        <v>0</v>
      </c>
      <c r="I1022" s="24">
        <f aca="true" t="shared" si="43" ref="I1022:I1029">G1022+H1022</f>
        <v>1576322000</v>
      </c>
    </row>
    <row r="1023" spans="4:9" ht="12.75">
      <c r="D1023" s="5" t="s">
        <v>747</v>
      </c>
      <c r="E1023" s="55" t="s">
        <v>891</v>
      </c>
      <c r="F1023" s="55"/>
      <c r="G1023" s="24">
        <v>6472168000</v>
      </c>
      <c r="H1023" s="24">
        <v>8414985</v>
      </c>
      <c r="I1023" s="24">
        <f t="shared" si="43"/>
        <v>6480582985</v>
      </c>
    </row>
    <row r="1024" spans="4:9" ht="12.75">
      <c r="D1024" s="5" t="s">
        <v>748</v>
      </c>
      <c r="E1024" s="55" t="s">
        <v>207</v>
      </c>
      <c r="F1024" s="55"/>
      <c r="G1024" s="24">
        <v>244717000</v>
      </c>
      <c r="H1024" s="24">
        <v>0</v>
      </c>
      <c r="I1024" s="24">
        <f t="shared" si="43"/>
        <v>244717000</v>
      </c>
    </row>
    <row r="1025" spans="4:9" ht="12.75">
      <c r="D1025" s="5" t="s">
        <v>928</v>
      </c>
      <c r="E1025" s="55" t="s">
        <v>890</v>
      </c>
      <c r="F1025" s="55"/>
      <c r="G1025" s="24">
        <v>274938000</v>
      </c>
      <c r="H1025" s="24">
        <v>0</v>
      </c>
      <c r="I1025" s="24">
        <f t="shared" si="43"/>
        <v>274938000</v>
      </c>
    </row>
    <row r="1026" spans="4:9" ht="12.75">
      <c r="D1026" s="5" t="s">
        <v>937</v>
      </c>
      <c r="E1026" s="55" t="s">
        <v>892</v>
      </c>
      <c r="F1026" s="55"/>
      <c r="G1026" s="24">
        <v>16908296000</v>
      </c>
      <c r="H1026" s="24">
        <v>12739818109</v>
      </c>
      <c r="I1026" s="24">
        <f t="shared" si="43"/>
        <v>29648114109</v>
      </c>
    </row>
    <row r="1027" spans="4:9" ht="12.75">
      <c r="D1027" s="5" t="s">
        <v>938</v>
      </c>
      <c r="E1027" s="55" t="s">
        <v>893</v>
      </c>
      <c r="F1027" s="55"/>
      <c r="G1027" s="24">
        <v>1737891000</v>
      </c>
      <c r="H1027" s="24">
        <v>0</v>
      </c>
      <c r="I1027" s="24">
        <f t="shared" si="43"/>
        <v>1737891000</v>
      </c>
    </row>
    <row r="1028" spans="4:9" ht="12.75">
      <c r="D1028" s="5" t="s">
        <v>939</v>
      </c>
      <c r="E1028" s="55" t="s">
        <v>894</v>
      </c>
      <c r="F1028" s="55"/>
      <c r="G1028" s="24">
        <v>245791000</v>
      </c>
      <c r="H1028" s="24">
        <v>0</v>
      </c>
      <c r="I1028" s="24">
        <f t="shared" si="43"/>
        <v>245791000</v>
      </c>
    </row>
    <row r="1029" spans="4:9" ht="12.75">
      <c r="D1029" s="5" t="s">
        <v>940</v>
      </c>
      <c r="E1029" s="55" t="s">
        <v>897</v>
      </c>
      <c r="F1029" s="55"/>
      <c r="G1029" s="24">
        <v>0</v>
      </c>
      <c r="H1029" s="24">
        <v>4117018150.48</v>
      </c>
      <c r="I1029" s="24">
        <f t="shared" si="43"/>
        <v>4117018150.48</v>
      </c>
    </row>
    <row r="1030" spans="5:6" ht="55.5" customHeight="1" thickBot="1">
      <c r="E1030" s="55" t="s">
        <v>186</v>
      </c>
      <c r="F1030" s="55"/>
    </row>
    <row r="1031" spans="5:9" ht="12.75">
      <c r="E1031" s="58" t="s">
        <v>23</v>
      </c>
      <c r="F1031" s="58"/>
      <c r="G1031" s="25"/>
      <c r="H1031" s="25"/>
      <c r="I1031" s="25"/>
    </row>
    <row r="1032" spans="4:9" ht="12.75">
      <c r="D1032" s="5" t="s">
        <v>772</v>
      </c>
      <c r="E1032" s="55" t="s">
        <v>773</v>
      </c>
      <c r="F1032" s="55"/>
      <c r="G1032" s="24">
        <f>SUM(G1022:G1031)</f>
        <v>27460123000</v>
      </c>
      <c r="I1032" s="24">
        <f>G1032+H1032</f>
        <v>27460123000</v>
      </c>
    </row>
    <row r="1033" spans="4:9" ht="13.5" thickBot="1">
      <c r="D1033" s="5" t="s">
        <v>830</v>
      </c>
      <c r="E1033" s="55" t="s">
        <v>906</v>
      </c>
      <c r="F1033" s="55"/>
      <c r="H1033" s="24">
        <f>SUM(H1022:H1032)</f>
        <v>16865251244.48</v>
      </c>
      <c r="I1033" s="24">
        <f>G1033+H1033</f>
        <v>16865251244.48</v>
      </c>
    </row>
    <row r="1034" spans="5:9" ht="13.5" thickBot="1">
      <c r="E1034" s="56" t="s">
        <v>24</v>
      </c>
      <c r="F1034" s="56"/>
      <c r="G1034" s="26">
        <f>SUM(G1032:G1033)</f>
        <v>27460123000</v>
      </c>
      <c r="H1034" s="26">
        <f>SUM(H1032:H1033)</f>
        <v>16865251244.48</v>
      </c>
      <c r="I1034" s="26">
        <f>G1034+H1034</f>
        <v>44325374244.479996</v>
      </c>
    </row>
    <row r="1035" spans="5:9" ht="12.75">
      <c r="E1035" s="58" t="s">
        <v>481</v>
      </c>
      <c r="F1035" s="58"/>
      <c r="G1035" s="25"/>
      <c r="H1035" s="25"/>
      <c r="I1035" s="25"/>
    </row>
    <row r="1036" spans="4:9" ht="12.75">
      <c r="D1036" s="5" t="s">
        <v>772</v>
      </c>
      <c r="E1036" s="55" t="s">
        <v>773</v>
      </c>
      <c r="F1036" s="55"/>
      <c r="G1036" s="24">
        <f>+G1032+G1017</f>
        <v>27461623000</v>
      </c>
      <c r="H1036" s="24">
        <v>0</v>
      </c>
      <c r="I1036" s="24">
        <f>G1036+H1036</f>
        <v>27461623000</v>
      </c>
    </row>
    <row r="1037" spans="4:9" ht="12.75">
      <c r="D1037" s="5" t="s">
        <v>784</v>
      </c>
      <c r="E1037" s="55" t="s">
        <v>785</v>
      </c>
      <c r="F1037" s="55"/>
      <c r="G1037" s="24">
        <v>0</v>
      </c>
      <c r="H1037" s="24">
        <f>+H1011</f>
        <v>918280000</v>
      </c>
      <c r="I1037" s="24">
        <f>G1037+H1037</f>
        <v>918280000</v>
      </c>
    </row>
    <row r="1038" spans="4:9" ht="13.5" thickBot="1">
      <c r="D1038" s="5" t="s">
        <v>830</v>
      </c>
      <c r="E1038" s="55" t="s">
        <v>906</v>
      </c>
      <c r="F1038" s="55"/>
      <c r="G1038" s="24">
        <v>0</v>
      </c>
      <c r="H1038" s="24">
        <f>+H1033+H1018</f>
        <v>17065251244.48</v>
      </c>
      <c r="I1038" s="24">
        <f>G1038+H1038</f>
        <v>17065251244.48</v>
      </c>
    </row>
    <row r="1039" spans="5:9" ht="13.5" thickBot="1">
      <c r="E1039" s="56" t="s">
        <v>482</v>
      </c>
      <c r="F1039" s="56"/>
      <c r="G1039" s="26">
        <f>SUM(G1036:G1038)</f>
        <v>27461623000</v>
      </c>
      <c r="H1039" s="26">
        <f>SUM(H1036:H1038)</f>
        <v>17983531244.48</v>
      </c>
      <c r="I1039" s="26">
        <f>G1039+H1039</f>
        <v>45445154244.479996</v>
      </c>
    </row>
    <row r="1041" spans="1:6" ht="12.75">
      <c r="A1041" s="8" t="s">
        <v>766</v>
      </c>
      <c r="B1041" s="9" t="s">
        <v>483</v>
      </c>
      <c r="C1041" s="8"/>
      <c r="D1041" s="9"/>
      <c r="E1041" s="57" t="s">
        <v>966</v>
      </c>
      <c r="F1041" s="57"/>
    </row>
    <row r="1042" spans="1:6" ht="27.75" customHeight="1">
      <c r="A1042" s="8"/>
      <c r="B1042" s="9"/>
      <c r="C1042" s="8" t="s">
        <v>767</v>
      </c>
      <c r="D1042" s="9"/>
      <c r="E1042" s="57" t="s">
        <v>768</v>
      </c>
      <c r="F1042" s="57"/>
    </row>
    <row r="1043" spans="4:9" ht="12.75">
      <c r="D1043" s="5" t="s">
        <v>911</v>
      </c>
      <c r="E1043" s="55" t="s">
        <v>199</v>
      </c>
      <c r="F1043" s="55"/>
      <c r="G1043" s="24">
        <v>8357000</v>
      </c>
      <c r="H1043" s="24">
        <v>0</v>
      </c>
      <c r="I1043" s="24">
        <f aca="true" t="shared" si="44" ref="I1043:I1054">G1043+H1043</f>
        <v>8357000</v>
      </c>
    </row>
    <row r="1044" spans="4:9" ht="12.75">
      <c r="D1044" s="5" t="s">
        <v>912</v>
      </c>
      <c r="E1044" s="55" t="s">
        <v>877</v>
      </c>
      <c r="F1044" s="55"/>
      <c r="G1044" s="24">
        <v>1496000</v>
      </c>
      <c r="H1044" s="24">
        <v>0</v>
      </c>
      <c r="I1044" s="24">
        <f t="shared" si="44"/>
        <v>1496000</v>
      </c>
    </row>
    <row r="1045" spans="4:9" ht="12.75">
      <c r="D1045" s="5" t="s">
        <v>918</v>
      </c>
      <c r="E1045" s="55" t="s">
        <v>878</v>
      </c>
      <c r="F1045" s="55"/>
      <c r="G1045" s="24">
        <v>82000</v>
      </c>
      <c r="H1045" s="24">
        <v>0</v>
      </c>
      <c r="I1045" s="24">
        <f t="shared" si="44"/>
        <v>82000</v>
      </c>
    </row>
    <row r="1046" spans="4:9" ht="12.75">
      <c r="D1046" s="5" t="s">
        <v>921</v>
      </c>
      <c r="E1046" s="55" t="s">
        <v>880</v>
      </c>
      <c r="F1046" s="55"/>
      <c r="G1046" s="24">
        <v>100000</v>
      </c>
      <c r="H1046" s="24">
        <v>0</v>
      </c>
      <c r="I1046" s="24">
        <f t="shared" si="44"/>
        <v>100000</v>
      </c>
    </row>
    <row r="1047" spans="4:9" ht="12.75">
      <c r="D1047" s="5" t="s">
        <v>919</v>
      </c>
      <c r="E1047" s="55" t="s">
        <v>200</v>
      </c>
      <c r="F1047" s="55"/>
      <c r="G1047" s="24">
        <v>100000</v>
      </c>
      <c r="H1047" s="24">
        <v>0</v>
      </c>
      <c r="I1047" s="24">
        <f t="shared" si="44"/>
        <v>100000</v>
      </c>
    </row>
    <row r="1048" spans="4:9" ht="12.75">
      <c r="D1048" s="5" t="s">
        <v>913</v>
      </c>
      <c r="E1048" s="55" t="s">
        <v>881</v>
      </c>
      <c r="F1048" s="55"/>
      <c r="G1048" s="24">
        <v>380000</v>
      </c>
      <c r="H1048" s="24">
        <v>0</v>
      </c>
      <c r="I1048" s="24">
        <f t="shared" si="44"/>
        <v>380000</v>
      </c>
    </row>
    <row r="1049" spans="4:9" ht="12.75">
      <c r="D1049" s="5" t="s">
        <v>915</v>
      </c>
      <c r="E1049" s="55" t="s">
        <v>879</v>
      </c>
      <c r="F1049" s="55"/>
      <c r="G1049" s="24">
        <v>200000</v>
      </c>
      <c r="H1049" s="24">
        <v>0</v>
      </c>
      <c r="I1049" s="24">
        <f t="shared" si="44"/>
        <v>200000</v>
      </c>
    </row>
    <row r="1050" spans="4:9" ht="12.75">
      <c r="D1050" s="5" t="s">
        <v>916</v>
      </c>
      <c r="E1050" s="55" t="s">
        <v>882</v>
      </c>
      <c r="F1050" s="55"/>
      <c r="G1050" s="24">
        <v>251000</v>
      </c>
      <c r="H1050" s="24">
        <v>0</v>
      </c>
      <c r="I1050" s="24">
        <f t="shared" si="44"/>
        <v>251000</v>
      </c>
    </row>
    <row r="1051" spans="4:9" ht="12.75">
      <c r="D1051" s="5" t="s">
        <v>923</v>
      </c>
      <c r="E1051" s="55" t="s">
        <v>883</v>
      </c>
      <c r="F1051" s="55"/>
      <c r="G1051" s="24">
        <v>10000</v>
      </c>
      <c r="H1051" s="24">
        <v>0</v>
      </c>
      <c r="I1051" s="24">
        <f t="shared" si="44"/>
        <v>10000</v>
      </c>
    </row>
    <row r="1052" spans="4:9" ht="12.75">
      <c r="D1052" s="5" t="s">
        <v>924</v>
      </c>
      <c r="E1052" s="55" t="s">
        <v>203</v>
      </c>
      <c r="F1052" s="55"/>
      <c r="G1052" s="24">
        <v>10000</v>
      </c>
      <c r="H1052" s="24">
        <v>0</v>
      </c>
      <c r="I1052" s="24">
        <f t="shared" si="44"/>
        <v>10000</v>
      </c>
    </row>
    <row r="1053" spans="4:9" ht="12.75">
      <c r="D1053" s="5" t="s">
        <v>925</v>
      </c>
      <c r="E1053" s="55" t="s">
        <v>884</v>
      </c>
      <c r="F1053" s="55"/>
      <c r="G1053" s="24">
        <v>844000</v>
      </c>
      <c r="H1053" s="24">
        <v>0</v>
      </c>
      <c r="I1053" s="24">
        <f t="shared" si="44"/>
        <v>844000</v>
      </c>
    </row>
    <row r="1054" spans="4:9" ht="13.5" thickBot="1">
      <c r="D1054" s="5" t="s">
        <v>754</v>
      </c>
      <c r="E1054" s="55" t="s">
        <v>212</v>
      </c>
      <c r="F1054" s="55"/>
      <c r="G1054" s="24">
        <v>50000</v>
      </c>
      <c r="H1054" s="24">
        <v>0</v>
      </c>
      <c r="I1054" s="24">
        <f t="shared" si="44"/>
        <v>50000</v>
      </c>
    </row>
    <row r="1055" spans="5:9" ht="12.75">
      <c r="E1055" s="58" t="s">
        <v>342</v>
      </c>
      <c r="F1055" s="58"/>
      <c r="G1055" s="25"/>
      <c r="H1055" s="25"/>
      <c r="I1055" s="25"/>
    </row>
    <row r="1056" spans="4:9" ht="13.5" thickBot="1">
      <c r="D1056" s="5" t="s">
        <v>772</v>
      </c>
      <c r="E1056" s="55" t="s">
        <v>773</v>
      </c>
      <c r="F1056" s="55"/>
      <c r="G1056" s="24">
        <f>SUM(G1043:G1055)</f>
        <v>11880000</v>
      </c>
      <c r="I1056" s="24">
        <f>G1056+H1056</f>
        <v>11880000</v>
      </c>
    </row>
    <row r="1057" spans="5:9" ht="13.5" thickBot="1">
      <c r="E1057" s="56" t="s">
        <v>343</v>
      </c>
      <c r="F1057" s="56"/>
      <c r="G1057" s="26">
        <f>SUM(G1056:G1056)</f>
        <v>11880000</v>
      </c>
      <c r="H1057" s="26">
        <f>SUM(H1056:H1056)</f>
        <v>0</v>
      </c>
      <c r="I1057" s="26">
        <f>G1057+H1057</f>
        <v>11880000</v>
      </c>
    </row>
    <row r="1058" spans="5:9" ht="12.75">
      <c r="E1058" s="58" t="s">
        <v>484</v>
      </c>
      <c r="F1058" s="58"/>
      <c r="G1058" s="25"/>
      <c r="H1058" s="25"/>
      <c r="I1058" s="25"/>
    </row>
    <row r="1059" spans="4:9" ht="13.5" thickBot="1">
      <c r="D1059" s="5" t="s">
        <v>772</v>
      </c>
      <c r="E1059" s="55" t="s">
        <v>773</v>
      </c>
      <c r="F1059" s="55"/>
      <c r="G1059" s="24">
        <f>+G1056</f>
        <v>11880000</v>
      </c>
      <c r="H1059" s="24">
        <v>0</v>
      </c>
      <c r="I1059" s="24">
        <f>G1059+H1059</f>
        <v>11880000</v>
      </c>
    </row>
    <row r="1060" spans="5:9" ht="13.5" thickBot="1">
      <c r="E1060" s="56" t="s">
        <v>485</v>
      </c>
      <c r="F1060" s="56"/>
      <c r="G1060" s="26">
        <f>SUM(G1059:G1059)</f>
        <v>11880000</v>
      </c>
      <c r="H1060" s="26">
        <f>SUM(H1059:H1059)</f>
        <v>0</v>
      </c>
      <c r="I1060" s="26">
        <f>G1060+H1060</f>
        <v>11880000</v>
      </c>
    </row>
    <row r="1062" spans="1:6" ht="12.75">
      <c r="A1062" s="8" t="s">
        <v>766</v>
      </c>
      <c r="B1062" s="9" t="s">
        <v>486</v>
      </c>
      <c r="C1062" s="8"/>
      <c r="D1062" s="9"/>
      <c r="E1062" s="57" t="s">
        <v>967</v>
      </c>
      <c r="F1062" s="57"/>
    </row>
    <row r="1063" spans="1:6" ht="12.75">
      <c r="A1063" s="8"/>
      <c r="B1063" s="9"/>
      <c r="C1063" s="8" t="s">
        <v>849</v>
      </c>
      <c r="D1063" s="9"/>
      <c r="E1063" s="57" t="s">
        <v>850</v>
      </c>
      <c r="F1063" s="57"/>
    </row>
    <row r="1064" spans="4:9" ht="12.75">
      <c r="D1064" s="5" t="s">
        <v>922</v>
      </c>
      <c r="E1064" s="55" t="s">
        <v>201</v>
      </c>
      <c r="F1064" s="55"/>
      <c r="G1064" s="24">
        <v>1000000</v>
      </c>
      <c r="H1064" s="24">
        <v>0</v>
      </c>
      <c r="I1064" s="24">
        <f>G1064+H1064</f>
        <v>1000000</v>
      </c>
    </row>
    <row r="1065" spans="4:9" ht="12.75">
      <c r="D1065" s="5" t="s">
        <v>916</v>
      </c>
      <c r="E1065" s="55" t="s">
        <v>882</v>
      </c>
      <c r="F1065" s="55"/>
      <c r="G1065" s="24">
        <v>4618000</v>
      </c>
      <c r="H1065" s="24">
        <v>0</v>
      </c>
      <c r="I1065" s="24">
        <f>G1065+H1065</f>
        <v>4618000</v>
      </c>
    </row>
    <row r="1066" spans="4:9" ht="13.5" thickBot="1">
      <c r="D1066" s="5" t="s">
        <v>750</v>
      </c>
      <c r="E1066" s="55" t="s">
        <v>887</v>
      </c>
      <c r="F1066" s="55"/>
      <c r="G1066" s="24">
        <v>133550000</v>
      </c>
      <c r="H1066" s="24">
        <v>0</v>
      </c>
      <c r="I1066" s="24">
        <f>G1066+H1066</f>
        <v>133550000</v>
      </c>
    </row>
    <row r="1067" spans="5:9" ht="12.75">
      <c r="E1067" s="58" t="s">
        <v>25</v>
      </c>
      <c r="F1067" s="58"/>
      <c r="G1067" s="25"/>
      <c r="H1067" s="25"/>
      <c r="I1067" s="25"/>
    </row>
    <row r="1068" spans="4:9" ht="13.5" thickBot="1">
      <c r="D1068" s="5" t="s">
        <v>772</v>
      </c>
      <c r="E1068" s="55" t="s">
        <v>773</v>
      </c>
      <c r="F1068" s="55"/>
      <c r="G1068" s="24">
        <f>SUM(G1064:G1067)</f>
        <v>139168000</v>
      </c>
      <c r="I1068" s="24">
        <f>G1068+H1068</f>
        <v>139168000</v>
      </c>
    </row>
    <row r="1069" spans="5:9" ht="13.5" thickBot="1">
      <c r="E1069" s="56" t="s">
        <v>26</v>
      </c>
      <c r="F1069" s="56"/>
      <c r="G1069" s="26">
        <f>SUM(G1068:G1068)</f>
        <v>139168000</v>
      </c>
      <c r="H1069" s="26">
        <f>SUM(H1068:H1068)</f>
        <v>0</v>
      </c>
      <c r="I1069" s="26">
        <f>G1069+H1069</f>
        <v>139168000</v>
      </c>
    </row>
    <row r="1070" spans="5:9" ht="12.75">
      <c r="E1070" s="58" t="s">
        <v>487</v>
      </c>
      <c r="F1070" s="58"/>
      <c r="G1070" s="25"/>
      <c r="H1070" s="25"/>
      <c r="I1070" s="25"/>
    </row>
    <row r="1071" spans="4:9" ht="13.5" thickBot="1">
      <c r="D1071" s="5" t="s">
        <v>772</v>
      </c>
      <c r="E1071" s="55" t="s">
        <v>773</v>
      </c>
      <c r="F1071" s="55"/>
      <c r="G1071" s="24">
        <f>+G1068</f>
        <v>139168000</v>
      </c>
      <c r="H1071" s="24">
        <v>0</v>
      </c>
      <c r="I1071" s="24">
        <f>G1071+H1071</f>
        <v>139168000</v>
      </c>
    </row>
    <row r="1072" spans="5:9" ht="13.5" thickBot="1">
      <c r="E1072" s="56" t="s">
        <v>488</v>
      </c>
      <c r="F1072" s="56"/>
      <c r="G1072" s="26">
        <f>SUM(G1071:G1071)</f>
        <v>139168000</v>
      </c>
      <c r="H1072" s="26">
        <f>SUM(H1071:H1071)</f>
        <v>0</v>
      </c>
      <c r="I1072" s="26">
        <f>G1072+H1072</f>
        <v>139168000</v>
      </c>
    </row>
    <row r="1074" spans="1:6" ht="12.75">
      <c r="A1074" s="8" t="s">
        <v>766</v>
      </c>
      <c r="B1074" s="9" t="s">
        <v>489</v>
      </c>
      <c r="C1074" s="8"/>
      <c r="D1074" s="9"/>
      <c r="E1074" s="57" t="s">
        <v>968</v>
      </c>
      <c r="F1074" s="57"/>
    </row>
    <row r="1075" spans="1:6" ht="12.75">
      <c r="A1075" s="8"/>
      <c r="B1075" s="9"/>
      <c r="C1075" s="8" t="s">
        <v>800</v>
      </c>
      <c r="D1075" s="9"/>
      <c r="E1075" s="57" t="s">
        <v>801</v>
      </c>
      <c r="F1075" s="57"/>
    </row>
    <row r="1076" spans="4:9" ht="12.75">
      <c r="D1076" s="5" t="s">
        <v>911</v>
      </c>
      <c r="E1076" s="55" t="s">
        <v>199</v>
      </c>
      <c r="F1076" s="55"/>
      <c r="G1076" s="24">
        <v>7437000</v>
      </c>
      <c r="H1076" s="24">
        <v>0</v>
      </c>
      <c r="I1076" s="24">
        <f aca="true" t="shared" si="45" ref="I1076:I1086">G1076+H1076</f>
        <v>7437000</v>
      </c>
    </row>
    <row r="1077" spans="4:9" ht="12.75">
      <c r="D1077" s="5" t="s">
        <v>912</v>
      </c>
      <c r="E1077" s="55" t="s">
        <v>877</v>
      </c>
      <c r="F1077" s="55"/>
      <c r="G1077" s="24">
        <v>1331000</v>
      </c>
      <c r="H1077" s="24">
        <v>0</v>
      </c>
      <c r="I1077" s="24">
        <f t="shared" si="45"/>
        <v>1331000</v>
      </c>
    </row>
    <row r="1078" spans="4:9" ht="12.75">
      <c r="D1078" s="5" t="s">
        <v>918</v>
      </c>
      <c r="E1078" s="55" t="s">
        <v>878</v>
      </c>
      <c r="F1078" s="55"/>
      <c r="G1078" s="24">
        <v>21000</v>
      </c>
      <c r="H1078" s="24">
        <v>0</v>
      </c>
      <c r="I1078" s="24">
        <f t="shared" si="45"/>
        <v>21000</v>
      </c>
    </row>
    <row r="1079" spans="4:9" ht="12.75">
      <c r="D1079" s="5" t="s">
        <v>921</v>
      </c>
      <c r="E1079" s="55" t="s">
        <v>880</v>
      </c>
      <c r="F1079" s="55"/>
      <c r="G1079" s="24">
        <v>25000</v>
      </c>
      <c r="H1079" s="24">
        <v>0</v>
      </c>
      <c r="I1079" s="24">
        <f t="shared" si="45"/>
        <v>25000</v>
      </c>
    </row>
    <row r="1080" spans="4:9" ht="12.75">
      <c r="D1080" s="5" t="s">
        <v>919</v>
      </c>
      <c r="E1080" s="55" t="s">
        <v>200</v>
      </c>
      <c r="F1080" s="55"/>
      <c r="G1080" s="24">
        <v>319000</v>
      </c>
      <c r="H1080" s="24">
        <v>0</v>
      </c>
      <c r="I1080" s="24">
        <f t="shared" si="45"/>
        <v>319000</v>
      </c>
    </row>
    <row r="1081" spans="4:9" ht="12.75">
      <c r="D1081" s="5" t="s">
        <v>913</v>
      </c>
      <c r="E1081" s="55" t="s">
        <v>881</v>
      </c>
      <c r="F1081" s="55"/>
      <c r="G1081" s="24">
        <v>833000</v>
      </c>
      <c r="H1081" s="24">
        <v>0</v>
      </c>
      <c r="I1081" s="24">
        <f t="shared" si="45"/>
        <v>833000</v>
      </c>
    </row>
    <row r="1082" spans="4:9" ht="12.75">
      <c r="D1082" s="5" t="s">
        <v>915</v>
      </c>
      <c r="E1082" s="55" t="s">
        <v>879</v>
      </c>
      <c r="F1082" s="55"/>
      <c r="G1082" s="24">
        <v>18000</v>
      </c>
      <c r="H1082" s="24">
        <v>0</v>
      </c>
      <c r="I1082" s="24">
        <f t="shared" si="45"/>
        <v>18000</v>
      </c>
    </row>
    <row r="1083" spans="4:9" ht="12.75">
      <c r="D1083" s="5" t="s">
        <v>916</v>
      </c>
      <c r="E1083" s="55" t="s">
        <v>882</v>
      </c>
      <c r="F1083" s="55"/>
      <c r="G1083" s="24">
        <v>480000</v>
      </c>
      <c r="H1083" s="24">
        <v>0</v>
      </c>
      <c r="I1083" s="24">
        <f t="shared" si="45"/>
        <v>480000</v>
      </c>
    </row>
    <row r="1084" spans="4:9" ht="12.75">
      <c r="D1084" s="5" t="s">
        <v>924</v>
      </c>
      <c r="E1084" s="55" t="s">
        <v>203</v>
      </c>
      <c r="F1084" s="55"/>
      <c r="G1084" s="24">
        <v>60000</v>
      </c>
      <c r="H1084" s="24">
        <v>0</v>
      </c>
      <c r="I1084" s="24">
        <f t="shared" si="45"/>
        <v>60000</v>
      </c>
    </row>
    <row r="1085" spans="4:9" ht="12.75">
      <c r="D1085" s="5" t="s">
        <v>925</v>
      </c>
      <c r="E1085" s="55" t="s">
        <v>884</v>
      </c>
      <c r="F1085" s="55"/>
      <c r="G1085" s="24">
        <v>460000</v>
      </c>
      <c r="H1085" s="24">
        <v>0</v>
      </c>
      <c r="I1085" s="24">
        <f t="shared" si="45"/>
        <v>460000</v>
      </c>
    </row>
    <row r="1086" spans="4:9" ht="13.5" thickBot="1">
      <c r="D1086" s="5" t="s">
        <v>927</v>
      </c>
      <c r="E1086" s="55" t="s">
        <v>886</v>
      </c>
      <c r="F1086" s="55"/>
      <c r="G1086" s="24">
        <v>2244000</v>
      </c>
      <c r="H1086" s="24">
        <v>0</v>
      </c>
      <c r="I1086" s="24">
        <f t="shared" si="45"/>
        <v>2244000</v>
      </c>
    </row>
    <row r="1087" spans="5:9" ht="12.75">
      <c r="E1087" s="58" t="s">
        <v>30</v>
      </c>
      <c r="F1087" s="58"/>
      <c r="G1087" s="25"/>
      <c r="H1087" s="25"/>
      <c r="I1087" s="25"/>
    </row>
    <row r="1088" spans="4:9" ht="13.5" thickBot="1">
      <c r="D1088" s="5" t="s">
        <v>772</v>
      </c>
      <c r="E1088" s="55" t="s">
        <v>773</v>
      </c>
      <c r="F1088" s="55"/>
      <c r="G1088" s="24">
        <f>SUM(G1076:G1087)</f>
        <v>13228000</v>
      </c>
      <c r="I1088" s="24">
        <f>G1088+H1088</f>
        <v>13228000</v>
      </c>
    </row>
    <row r="1089" spans="5:9" ht="13.5" thickBot="1">
      <c r="E1089" s="56" t="s">
        <v>31</v>
      </c>
      <c r="F1089" s="56"/>
      <c r="G1089" s="26">
        <f>SUM(G1088:G1088)</f>
        <v>13228000</v>
      </c>
      <c r="H1089" s="26">
        <f>SUM(H1088:H1088)</f>
        <v>0</v>
      </c>
      <c r="I1089" s="26">
        <f>G1089+H1089</f>
        <v>13228000</v>
      </c>
    </row>
    <row r="1090" spans="5:9" ht="12.75">
      <c r="E1090" s="58" t="s">
        <v>490</v>
      </c>
      <c r="F1090" s="58"/>
      <c r="G1090" s="25"/>
      <c r="H1090" s="25"/>
      <c r="I1090" s="25"/>
    </row>
    <row r="1091" spans="4:9" ht="13.5" thickBot="1">
      <c r="D1091" s="5" t="s">
        <v>772</v>
      </c>
      <c r="E1091" s="55" t="s">
        <v>773</v>
      </c>
      <c r="F1091" s="55"/>
      <c r="G1091" s="24">
        <f>+G1088</f>
        <v>13228000</v>
      </c>
      <c r="H1091" s="24">
        <v>0</v>
      </c>
      <c r="I1091" s="24">
        <f>G1091+H1091</f>
        <v>13228000</v>
      </c>
    </row>
    <row r="1092" spans="5:9" ht="13.5" thickBot="1">
      <c r="E1092" s="56" t="s">
        <v>491</v>
      </c>
      <c r="F1092" s="56"/>
      <c r="G1092" s="26">
        <f>SUM(G1091:G1091)</f>
        <v>13228000</v>
      </c>
      <c r="H1092" s="26">
        <f>SUM(H1091:H1091)</f>
        <v>0</v>
      </c>
      <c r="I1092" s="26">
        <f>G1092+H1092</f>
        <v>13228000</v>
      </c>
    </row>
    <row r="1094" spans="1:6" ht="12.75">
      <c r="A1094" s="8" t="s">
        <v>766</v>
      </c>
      <c r="B1094" s="9" t="s">
        <v>492</v>
      </c>
      <c r="C1094" s="8"/>
      <c r="D1094" s="9"/>
      <c r="E1094" s="57" t="s">
        <v>969</v>
      </c>
      <c r="F1094" s="57"/>
    </row>
    <row r="1095" spans="1:6" ht="12.75">
      <c r="A1095" s="8"/>
      <c r="B1095" s="9"/>
      <c r="C1095" s="8" t="s">
        <v>776</v>
      </c>
      <c r="D1095" s="9"/>
      <c r="E1095" s="57" t="s">
        <v>777</v>
      </c>
      <c r="F1095" s="57"/>
    </row>
    <row r="1096" spans="4:9" ht="12.75">
      <c r="D1096" s="5" t="s">
        <v>911</v>
      </c>
      <c r="E1096" s="55" t="s">
        <v>199</v>
      </c>
      <c r="F1096" s="55"/>
      <c r="G1096" s="24">
        <v>10510000</v>
      </c>
      <c r="H1096" s="24">
        <v>0</v>
      </c>
      <c r="I1096" s="24">
        <f aca="true" t="shared" si="46" ref="I1096:I1107">G1096+H1096</f>
        <v>10510000</v>
      </c>
    </row>
    <row r="1097" spans="4:9" ht="12.75">
      <c r="D1097" s="5" t="s">
        <v>912</v>
      </c>
      <c r="E1097" s="55" t="s">
        <v>877</v>
      </c>
      <c r="F1097" s="55"/>
      <c r="G1097" s="24">
        <v>1882000</v>
      </c>
      <c r="H1097" s="24">
        <v>0</v>
      </c>
      <c r="I1097" s="24">
        <f t="shared" si="46"/>
        <v>1882000</v>
      </c>
    </row>
    <row r="1098" spans="4:9" ht="12.75">
      <c r="D1098" s="5" t="s">
        <v>921</v>
      </c>
      <c r="E1098" s="55" t="s">
        <v>880</v>
      </c>
      <c r="F1098" s="55"/>
      <c r="G1098" s="24">
        <v>22000</v>
      </c>
      <c r="H1098" s="24">
        <v>0</v>
      </c>
      <c r="I1098" s="24">
        <f t="shared" si="46"/>
        <v>22000</v>
      </c>
    </row>
    <row r="1099" spans="4:9" ht="12.75">
      <c r="D1099" s="5" t="s">
        <v>919</v>
      </c>
      <c r="E1099" s="55" t="s">
        <v>200</v>
      </c>
      <c r="F1099" s="55"/>
      <c r="G1099" s="24">
        <f>126000+23000</f>
        <v>149000</v>
      </c>
      <c r="H1099" s="24">
        <v>0</v>
      </c>
      <c r="I1099" s="24">
        <f t="shared" si="46"/>
        <v>149000</v>
      </c>
    </row>
    <row r="1100" spans="4:9" ht="12.75">
      <c r="D1100" s="5" t="s">
        <v>913</v>
      </c>
      <c r="E1100" s="55" t="s">
        <v>881</v>
      </c>
      <c r="F1100" s="55"/>
      <c r="G1100" s="24">
        <v>351000</v>
      </c>
      <c r="H1100" s="24">
        <v>0</v>
      </c>
      <c r="I1100" s="24">
        <f t="shared" si="46"/>
        <v>351000</v>
      </c>
    </row>
    <row r="1101" spans="4:9" ht="12.75">
      <c r="D1101" s="5" t="s">
        <v>915</v>
      </c>
      <c r="E1101" s="55" t="s">
        <v>879</v>
      </c>
      <c r="F1101" s="55"/>
      <c r="G1101" s="24">
        <v>220000</v>
      </c>
      <c r="H1101" s="24">
        <v>0</v>
      </c>
      <c r="I1101" s="24">
        <f t="shared" si="46"/>
        <v>220000</v>
      </c>
    </row>
    <row r="1102" spans="4:9" ht="12.75">
      <c r="D1102" s="5" t="s">
        <v>916</v>
      </c>
      <c r="E1102" s="55" t="s">
        <v>882</v>
      </c>
      <c r="F1102" s="55"/>
      <c r="G1102" s="24">
        <v>457000</v>
      </c>
      <c r="H1102" s="24">
        <v>0</v>
      </c>
      <c r="I1102" s="24">
        <f t="shared" si="46"/>
        <v>457000</v>
      </c>
    </row>
    <row r="1103" spans="4:9" ht="12.75">
      <c r="D1103" s="5" t="s">
        <v>924</v>
      </c>
      <c r="E1103" s="55" t="s">
        <v>203</v>
      </c>
      <c r="F1103" s="55"/>
      <c r="G1103" s="24">
        <v>50000</v>
      </c>
      <c r="H1103" s="24">
        <v>0</v>
      </c>
      <c r="I1103" s="24">
        <f t="shared" si="46"/>
        <v>50000</v>
      </c>
    </row>
    <row r="1104" spans="4:9" ht="12.75">
      <c r="D1104" s="5" t="s">
        <v>925</v>
      </c>
      <c r="E1104" s="55" t="s">
        <v>884</v>
      </c>
      <c r="F1104" s="55"/>
      <c r="G1104" s="24">
        <v>108000</v>
      </c>
      <c r="H1104" s="24">
        <v>0</v>
      </c>
      <c r="I1104" s="24">
        <f t="shared" si="46"/>
        <v>108000</v>
      </c>
    </row>
    <row r="1105" spans="4:9" ht="12.75">
      <c r="D1105" s="5" t="s">
        <v>754</v>
      </c>
      <c r="E1105" s="55" t="s">
        <v>212</v>
      </c>
      <c r="F1105" s="55"/>
      <c r="G1105" s="24">
        <v>10000</v>
      </c>
      <c r="H1105" s="24">
        <v>0</v>
      </c>
      <c r="I1105" s="24">
        <f t="shared" si="46"/>
        <v>10000</v>
      </c>
    </row>
    <row r="1106" spans="4:9" ht="12.75">
      <c r="D1106" s="5" t="s">
        <v>927</v>
      </c>
      <c r="E1106" s="55" t="s">
        <v>886</v>
      </c>
      <c r="F1106" s="55"/>
      <c r="G1106" s="24">
        <v>345000</v>
      </c>
      <c r="H1106" s="24">
        <v>0</v>
      </c>
      <c r="I1106" s="24">
        <f t="shared" si="46"/>
        <v>345000</v>
      </c>
    </row>
    <row r="1107" spans="4:9" ht="13.5" thickBot="1">
      <c r="D1107" s="5" t="s">
        <v>214</v>
      </c>
      <c r="E1107" s="55" t="s">
        <v>215</v>
      </c>
      <c r="F1107" s="55"/>
      <c r="G1107" s="24">
        <f>100000-23000</f>
        <v>77000</v>
      </c>
      <c r="H1107" s="24">
        <v>0</v>
      </c>
      <c r="I1107" s="24">
        <f t="shared" si="46"/>
        <v>77000</v>
      </c>
    </row>
    <row r="1108" spans="5:9" ht="12.75">
      <c r="E1108" s="58" t="s">
        <v>352</v>
      </c>
      <c r="F1108" s="58"/>
      <c r="G1108" s="25"/>
      <c r="H1108" s="25"/>
      <c r="I1108" s="25"/>
    </row>
    <row r="1109" spans="4:9" ht="13.5" thickBot="1">
      <c r="D1109" s="5" t="s">
        <v>772</v>
      </c>
      <c r="E1109" s="55" t="s">
        <v>773</v>
      </c>
      <c r="F1109" s="55"/>
      <c r="G1109" s="24">
        <f>SUM(G1096:G1108)</f>
        <v>14181000</v>
      </c>
      <c r="I1109" s="24">
        <f>G1109+H1109</f>
        <v>14181000</v>
      </c>
    </row>
    <row r="1110" spans="5:9" ht="13.5" thickBot="1">
      <c r="E1110" s="56" t="s">
        <v>353</v>
      </c>
      <c r="F1110" s="56"/>
      <c r="G1110" s="26">
        <f>SUM(G1109:G1109)</f>
        <v>14181000</v>
      </c>
      <c r="H1110" s="26">
        <f>SUM(H1109:H1109)</f>
        <v>0</v>
      </c>
      <c r="I1110" s="26">
        <f>G1110+H1110</f>
        <v>14181000</v>
      </c>
    </row>
    <row r="1111" spans="5:9" ht="12.75">
      <c r="E1111" s="58" t="s">
        <v>493</v>
      </c>
      <c r="F1111" s="58"/>
      <c r="G1111" s="25"/>
      <c r="H1111" s="25"/>
      <c r="I1111" s="25"/>
    </row>
    <row r="1112" spans="4:9" ht="13.5" thickBot="1">
      <c r="D1112" s="5" t="s">
        <v>772</v>
      </c>
      <c r="E1112" s="55" t="s">
        <v>773</v>
      </c>
      <c r="F1112" s="55"/>
      <c r="G1112" s="24">
        <f>+G1109</f>
        <v>14181000</v>
      </c>
      <c r="H1112" s="24">
        <v>0</v>
      </c>
      <c r="I1112" s="24">
        <f>G1112+H1112</f>
        <v>14181000</v>
      </c>
    </row>
    <row r="1113" spans="5:9" ht="13.5" thickBot="1">
      <c r="E1113" s="56" t="s">
        <v>494</v>
      </c>
      <c r="F1113" s="56"/>
      <c r="G1113" s="26">
        <f>SUM(G1112:G1112)</f>
        <v>14181000</v>
      </c>
      <c r="H1113" s="26">
        <f>SUM(H1112:H1112)</f>
        <v>0</v>
      </c>
      <c r="I1113" s="26">
        <f>G1113+H1113</f>
        <v>14181000</v>
      </c>
    </row>
    <row r="1115" spans="1:6" ht="12.75">
      <c r="A1115" s="8" t="s">
        <v>766</v>
      </c>
      <c r="B1115" s="9" t="s">
        <v>495</v>
      </c>
      <c r="C1115" s="8"/>
      <c r="D1115" s="9"/>
      <c r="E1115" s="57" t="s">
        <v>970</v>
      </c>
      <c r="F1115" s="57"/>
    </row>
    <row r="1116" spans="1:6" ht="12.75">
      <c r="A1116" s="8"/>
      <c r="B1116" s="9"/>
      <c r="C1116" s="8" t="s">
        <v>776</v>
      </c>
      <c r="D1116" s="9"/>
      <c r="E1116" s="57" t="s">
        <v>777</v>
      </c>
      <c r="F1116" s="57"/>
    </row>
    <row r="1117" spans="4:9" ht="12.75">
      <c r="D1117" s="5" t="s">
        <v>911</v>
      </c>
      <c r="E1117" s="55" t="s">
        <v>199</v>
      </c>
      <c r="F1117" s="55"/>
      <c r="G1117" s="24">
        <v>29863000</v>
      </c>
      <c r="H1117" s="24">
        <v>0</v>
      </c>
      <c r="I1117" s="24">
        <f aca="true" t="shared" si="47" ref="I1117:I1127">G1117+H1117</f>
        <v>29863000</v>
      </c>
    </row>
    <row r="1118" spans="4:9" ht="12.75">
      <c r="D1118" s="5" t="s">
        <v>912</v>
      </c>
      <c r="E1118" s="55" t="s">
        <v>877</v>
      </c>
      <c r="F1118" s="55"/>
      <c r="G1118" s="24">
        <v>4809000</v>
      </c>
      <c r="H1118" s="24">
        <v>0</v>
      </c>
      <c r="I1118" s="24">
        <f t="shared" si="47"/>
        <v>4809000</v>
      </c>
    </row>
    <row r="1119" spans="4:9" ht="12.75">
      <c r="D1119" s="5" t="s">
        <v>921</v>
      </c>
      <c r="E1119" s="55" t="s">
        <v>880</v>
      </c>
      <c r="F1119" s="55"/>
      <c r="G1119" s="24">
        <v>780000</v>
      </c>
      <c r="H1119" s="24">
        <v>0</v>
      </c>
      <c r="I1119" s="24">
        <f t="shared" si="47"/>
        <v>780000</v>
      </c>
    </row>
    <row r="1120" spans="4:9" ht="12.75">
      <c r="D1120" s="5" t="s">
        <v>919</v>
      </c>
      <c r="E1120" s="55" t="s">
        <v>200</v>
      </c>
      <c r="F1120" s="55"/>
      <c r="G1120" s="24">
        <v>696000</v>
      </c>
      <c r="H1120" s="24">
        <v>0</v>
      </c>
      <c r="I1120" s="24">
        <f t="shared" si="47"/>
        <v>696000</v>
      </c>
    </row>
    <row r="1121" spans="4:9" ht="12.75">
      <c r="D1121" s="5" t="s">
        <v>913</v>
      </c>
      <c r="E1121" s="55" t="s">
        <v>881</v>
      </c>
      <c r="F1121" s="55"/>
      <c r="G1121" s="24">
        <v>922000</v>
      </c>
      <c r="H1121" s="24">
        <v>0</v>
      </c>
      <c r="I1121" s="24">
        <f t="shared" si="47"/>
        <v>922000</v>
      </c>
    </row>
    <row r="1122" spans="4:9" ht="12.75">
      <c r="D1122" s="5" t="s">
        <v>915</v>
      </c>
      <c r="E1122" s="55" t="s">
        <v>879</v>
      </c>
      <c r="F1122" s="55"/>
      <c r="G1122" s="24">
        <v>960000</v>
      </c>
      <c r="H1122" s="24">
        <v>0</v>
      </c>
      <c r="I1122" s="24">
        <f t="shared" si="47"/>
        <v>960000</v>
      </c>
    </row>
    <row r="1123" spans="4:9" ht="12.75">
      <c r="D1123" s="5" t="s">
        <v>916</v>
      </c>
      <c r="E1123" s="55" t="s">
        <v>882</v>
      </c>
      <c r="F1123" s="55"/>
      <c r="G1123" s="24">
        <v>960000</v>
      </c>
      <c r="H1123" s="24">
        <v>0</v>
      </c>
      <c r="I1123" s="24">
        <f t="shared" si="47"/>
        <v>960000</v>
      </c>
    </row>
    <row r="1124" spans="4:9" ht="12.75">
      <c r="D1124" s="5" t="s">
        <v>924</v>
      </c>
      <c r="E1124" s="55" t="s">
        <v>203</v>
      </c>
      <c r="F1124" s="55"/>
      <c r="G1124" s="24">
        <v>450000</v>
      </c>
      <c r="H1124" s="24">
        <v>0</v>
      </c>
      <c r="I1124" s="24">
        <f t="shared" si="47"/>
        <v>450000</v>
      </c>
    </row>
    <row r="1125" spans="4:9" ht="12.75">
      <c r="D1125" s="5" t="s">
        <v>925</v>
      </c>
      <c r="E1125" s="55" t="s">
        <v>884</v>
      </c>
      <c r="F1125" s="55"/>
      <c r="G1125" s="24">
        <v>789000</v>
      </c>
      <c r="H1125" s="24">
        <v>0</v>
      </c>
      <c r="I1125" s="24">
        <f t="shared" si="47"/>
        <v>789000</v>
      </c>
    </row>
    <row r="1126" spans="4:9" ht="12.75">
      <c r="D1126" s="5" t="s">
        <v>754</v>
      </c>
      <c r="E1126" s="55" t="s">
        <v>212</v>
      </c>
      <c r="F1126" s="55"/>
      <c r="G1126" s="24">
        <v>48000</v>
      </c>
      <c r="H1126" s="24">
        <v>0</v>
      </c>
      <c r="I1126" s="24">
        <f t="shared" si="47"/>
        <v>48000</v>
      </c>
    </row>
    <row r="1127" spans="4:9" ht="13.5" thickBot="1">
      <c r="D1127" s="5" t="s">
        <v>927</v>
      </c>
      <c r="E1127" s="55" t="s">
        <v>886</v>
      </c>
      <c r="F1127" s="55"/>
      <c r="G1127" s="24">
        <v>310000</v>
      </c>
      <c r="H1127" s="24">
        <v>0</v>
      </c>
      <c r="I1127" s="24">
        <f t="shared" si="47"/>
        <v>310000</v>
      </c>
    </row>
    <row r="1128" spans="5:9" ht="12.75">
      <c r="E1128" s="58" t="s">
        <v>352</v>
      </c>
      <c r="F1128" s="58"/>
      <c r="G1128" s="25"/>
      <c r="H1128" s="25"/>
      <c r="I1128" s="25"/>
    </row>
    <row r="1129" spans="4:9" ht="13.5" thickBot="1">
      <c r="D1129" s="5" t="s">
        <v>772</v>
      </c>
      <c r="E1129" s="55" t="s">
        <v>773</v>
      </c>
      <c r="F1129" s="55"/>
      <c r="G1129" s="24">
        <f>SUM(G1117:G1128)</f>
        <v>40587000</v>
      </c>
      <c r="I1129" s="24">
        <f>G1129+H1129</f>
        <v>40587000</v>
      </c>
    </row>
    <row r="1130" spans="5:9" ht="13.5" thickBot="1">
      <c r="E1130" s="56" t="s">
        <v>353</v>
      </c>
      <c r="F1130" s="56"/>
      <c r="G1130" s="26">
        <f>SUM(G1129:G1129)</f>
        <v>40587000</v>
      </c>
      <c r="H1130" s="26">
        <f>SUM(H1129:H1129)</f>
        <v>0</v>
      </c>
      <c r="I1130" s="26">
        <f>G1130+H1130</f>
        <v>40587000</v>
      </c>
    </row>
    <row r="1131" spans="5:9" ht="12.75">
      <c r="E1131" s="58" t="s">
        <v>496</v>
      </c>
      <c r="F1131" s="58"/>
      <c r="G1131" s="25"/>
      <c r="H1131" s="25"/>
      <c r="I1131" s="25"/>
    </row>
    <row r="1132" spans="4:9" ht="13.5" thickBot="1">
      <c r="D1132" s="5" t="s">
        <v>772</v>
      </c>
      <c r="E1132" s="55" t="s">
        <v>773</v>
      </c>
      <c r="F1132" s="55"/>
      <c r="G1132" s="24">
        <f>+G1129</f>
        <v>40587000</v>
      </c>
      <c r="H1132" s="24">
        <v>0</v>
      </c>
      <c r="I1132" s="24">
        <f>G1132+H1132</f>
        <v>40587000</v>
      </c>
    </row>
    <row r="1133" spans="5:9" ht="13.5" thickBot="1">
      <c r="E1133" s="56" t="s">
        <v>497</v>
      </c>
      <c r="F1133" s="56"/>
      <c r="G1133" s="26">
        <f>SUM(G1132:G1132)</f>
        <v>40587000</v>
      </c>
      <c r="H1133" s="26">
        <f>SUM(H1132:H1132)</f>
        <v>0</v>
      </c>
      <c r="I1133" s="26">
        <f>G1133+H1133</f>
        <v>40587000</v>
      </c>
    </row>
    <row r="1135" spans="1:6" ht="12.75">
      <c r="A1135" s="8" t="s">
        <v>766</v>
      </c>
      <c r="B1135" s="9" t="s">
        <v>515</v>
      </c>
      <c r="C1135" s="8"/>
      <c r="D1135" s="9"/>
      <c r="E1135" s="57" t="s">
        <v>971</v>
      </c>
      <c r="F1135" s="57"/>
    </row>
    <row r="1136" spans="1:6" ht="27.75" customHeight="1">
      <c r="A1136" s="8"/>
      <c r="B1136" s="9"/>
      <c r="C1136" s="8" t="s">
        <v>802</v>
      </c>
      <c r="D1136" s="9"/>
      <c r="E1136" s="57" t="s">
        <v>803</v>
      </c>
      <c r="F1136" s="57"/>
    </row>
    <row r="1137" spans="4:9" ht="12.75">
      <c r="D1137" s="5" t="s">
        <v>911</v>
      </c>
      <c r="E1137" s="55" t="s">
        <v>199</v>
      </c>
      <c r="F1137" s="55"/>
      <c r="G1137" s="24">
        <v>320000</v>
      </c>
      <c r="H1137" s="24">
        <v>0</v>
      </c>
      <c r="I1137" s="24">
        <f aca="true" t="shared" si="48" ref="I1137:I1142">G1137+H1137</f>
        <v>320000</v>
      </c>
    </row>
    <row r="1138" spans="4:9" ht="12.75">
      <c r="D1138" s="5" t="s">
        <v>912</v>
      </c>
      <c r="E1138" s="55" t="s">
        <v>877</v>
      </c>
      <c r="F1138" s="55"/>
      <c r="G1138" s="24">
        <v>57000</v>
      </c>
      <c r="H1138" s="24">
        <v>0</v>
      </c>
      <c r="I1138" s="24">
        <f t="shared" si="48"/>
        <v>57000</v>
      </c>
    </row>
    <row r="1139" spans="4:9" ht="12.75">
      <c r="D1139" s="5" t="s">
        <v>921</v>
      </c>
      <c r="E1139" s="55" t="s">
        <v>880</v>
      </c>
      <c r="F1139" s="55"/>
      <c r="G1139" s="24">
        <v>3000</v>
      </c>
      <c r="H1139" s="24">
        <v>0</v>
      </c>
      <c r="I1139" s="24">
        <f t="shared" si="48"/>
        <v>3000</v>
      </c>
    </row>
    <row r="1140" spans="4:9" ht="12.75">
      <c r="D1140" s="5" t="s">
        <v>913</v>
      </c>
      <c r="E1140" s="55" t="s">
        <v>881</v>
      </c>
      <c r="F1140" s="55"/>
      <c r="G1140" s="24">
        <v>6000</v>
      </c>
      <c r="H1140" s="24">
        <v>0</v>
      </c>
      <c r="I1140" s="24">
        <f t="shared" si="48"/>
        <v>6000</v>
      </c>
    </row>
    <row r="1141" spans="4:9" ht="12.75">
      <c r="D1141" s="5" t="s">
        <v>915</v>
      </c>
      <c r="E1141" s="55" t="s">
        <v>879</v>
      </c>
      <c r="F1141" s="55"/>
      <c r="G1141" s="24">
        <v>3000</v>
      </c>
      <c r="H1141" s="24">
        <v>0</v>
      </c>
      <c r="I1141" s="24">
        <f t="shared" si="48"/>
        <v>3000</v>
      </c>
    </row>
    <row r="1142" spans="4:9" ht="13.5" thickBot="1">
      <c r="D1142" s="5" t="s">
        <v>916</v>
      </c>
      <c r="E1142" s="55" t="s">
        <v>882</v>
      </c>
      <c r="F1142" s="55"/>
      <c r="G1142" s="24">
        <v>20000</v>
      </c>
      <c r="H1142" s="24">
        <v>0</v>
      </c>
      <c r="I1142" s="24">
        <f t="shared" si="48"/>
        <v>20000</v>
      </c>
    </row>
    <row r="1143" spans="5:9" ht="12.75">
      <c r="E1143" s="58" t="s">
        <v>32</v>
      </c>
      <c r="F1143" s="58"/>
      <c r="G1143" s="25"/>
      <c r="H1143" s="25"/>
      <c r="I1143" s="25"/>
    </row>
    <row r="1144" spans="4:9" ht="13.5" thickBot="1">
      <c r="D1144" s="5" t="s">
        <v>772</v>
      </c>
      <c r="E1144" s="55" t="s">
        <v>773</v>
      </c>
      <c r="F1144" s="55"/>
      <c r="G1144" s="24">
        <f>SUM(G1137:G1143)</f>
        <v>409000</v>
      </c>
      <c r="I1144" s="24">
        <f>G1144+H1144</f>
        <v>409000</v>
      </c>
    </row>
    <row r="1145" spans="5:9" ht="13.5" thickBot="1">
      <c r="E1145" s="56" t="s">
        <v>33</v>
      </c>
      <c r="F1145" s="56"/>
      <c r="G1145" s="26">
        <f>SUM(G1144:G1144)</f>
        <v>409000</v>
      </c>
      <c r="H1145" s="26">
        <f>SUM(H1144:H1144)</f>
        <v>0</v>
      </c>
      <c r="I1145" s="26">
        <f>G1145+H1145</f>
        <v>409000</v>
      </c>
    </row>
    <row r="1146" spans="5:9" ht="12.75">
      <c r="E1146" s="58" t="s">
        <v>516</v>
      </c>
      <c r="F1146" s="58"/>
      <c r="G1146" s="25"/>
      <c r="H1146" s="25"/>
      <c r="I1146" s="25"/>
    </row>
    <row r="1147" spans="4:9" ht="13.5" thickBot="1">
      <c r="D1147" s="5" t="s">
        <v>772</v>
      </c>
      <c r="E1147" s="55" t="s">
        <v>773</v>
      </c>
      <c r="F1147" s="55"/>
      <c r="G1147" s="24">
        <f>+G1144</f>
        <v>409000</v>
      </c>
      <c r="H1147" s="24">
        <v>0</v>
      </c>
      <c r="I1147" s="24">
        <f>G1147+H1147</f>
        <v>409000</v>
      </c>
    </row>
    <row r="1148" spans="5:9" ht="13.5" thickBot="1">
      <c r="E1148" s="56" t="s">
        <v>517</v>
      </c>
      <c r="F1148" s="56"/>
      <c r="G1148" s="26">
        <f>SUM(G1147:G1147)</f>
        <v>409000</v>
      </c>
      <c r="H1148" s="26">
        <f>SUM(H1147:H1147)</f>
        <v>0</v>
      </c>
      <c r="I1148" s="26">
        <f>G1148+H1148</f>
        <v>409000</v>
      </c>
    </row>
    <row r="1149" spans="5:9" ht="12.75">
      <c r="E1149" s="58" t="s">
        <v>34</v>
      </c>
      <c r="F1149" s="58"/>
      <c r="G1149" s="25"/>
      <c r="H1149" s="25"/>
      <c r="I1149" s="25"/>
    </row>
    <row r="1150" spans="4:9" ht="12.75">
      <c r="D1150" s="5" t="s">
        <v>772</v>
      </c>
      <c r="E1150" s="55" t="s">
        <v>773</v>
      </c>
      <c r="F1150" s="55"/>
      <c r="G1150" s="24">
        <f>+G1147+G1132+G1112+G1091+G1071+G1059+G1036+G988+G957+G925</f>
        <v>101589726000</v>
      </c>
      <c r="H1150" s="24">
        <v>0</v>
      </c>
      <c r="I1150" s="24">
        <f aca="true" t="shared" si="49" ref="I1150:I1157">G1150+H1150</f>
        <v>101589726000</v>
      </c>
    </row>
    <row r="1151" spans="4:9" ht="12.75">
      <c r="D1151" s="5" t="s">
        <v>784</v>
      </c>
      <c r="E1151" s="55" t="s">
        <v>785</v>
      </c>
      <c r="F1151" s="55"/>
      <c r="G1151" s="24">
        <v>0</v>
      </c>
      <c r="H1151" s="24">
        <f>+H989+H958+H1037</f>
        <v>1768430000</v>
      </c>
      <c r="I1151" s="24">
        <f t="shared" si="49"/>
        <v>1768430000</v>
      </c>
    </row>
    <row r="1152" spans="4:9" ht="12.75">
      <c r="D1152" s="5" t="s">
        <v>780</v>
      </c>
      <c r="E1152" s="55" t="s">
        <v>781</v>
      </c>
      <c r="F1152" s="55"/>
      <c r="G1152" s="24">
        <v>0</v>
      </c>
      <c r="H1152" s="24">
        <f>+H927</f>
        <v>2981420</v>
      </c>
      <c r="I1152" s="24">
        <f t="shared" si="49"/>
        <v>2981420</v>
      </c>
    </row>
    <row r="1153" spans="4:9" ht="12.75">
      <c r="D1153" s="5" t="s">
        <v>790</v>
      </c>
      <c r="E1153" s="55" t="s">
        <v>791</v>
      </c>
      <c r="F1153" s="55"/>
      <c r="G1153" s="24">
        <v>0</v>
      </c>
      <c r="H1153" s="24">
        <f>+H959</f>
        <v>2750000</v>
      </c>
      <c r="I1153" s="24">
        <f t="shared" si="49"/>
        <v>2750000</v>
      </c>
    </row>
    <row r="1154" spans="4:9" ht="12.75">
      <c r="D1154" s="5" t="s">
        <v>825</v>
      </c>
      <c r="E1154" s="55" t="s">
        <v>905</v>
      </c>
      <c r="F1154" s="55"/>
      <c r="G1154" s="24">
        <v>0</v>
      </c>
      <c r="H1154" s="24">
        <f>+H990+H960</f>
        <v>606378760.8299999</v>
      </c>
      <c r="I1154" s="24">
        <f t="shared" si="49"/>
        <v>606378760.8299999</v>
      </c>
    </row>
    <row r="1155" spans="4:9" ht="12.75">
      <c r="D1155" s="5" t="s">
        <v>830</v>
      </c>
      <c r="E1155" s="55" t="s">
        <v>906</v>
      </c>
      <c r="F1155" s="55"/>
      <c r="G1155" s="24">
        <v>0</v>
      </c>
      <c r="H1155" s="24">
        <f>+H1038</f>
        <v>17065251244.48</v>
      </c>
      <c r="I1155" s="24">
        <f t="shared" si="49"/>
        <v>17065251244.48</v>
      </c>
    </row>
    <row r="1156" spans="4:9" ht="13.5" thickBot="1">
      <c r="D1156" s="5" t="s">
        <v>979</v>
      </c>
      <c r="E1156" s="55" t="s">
        <v>374</v>
      </c>
      <c r="F1156" s="55"/>
      <c r="G1156" s="24">
        <v>0</v>
      </c>
      <c r="H1156" s="24">
        <f>+H928</f>
        <v>2453492</v>
      </c>
      <c r="I1156" s="24">
        <f t="shared" si="49"/>
        <v>2453492</v>
      </c>
    </row>
    <row r="1157" spans="5:9" ht="13.5" thickBot="1">
      <c r="E1157" s="56" t="s">
        <v>35</v>
      </c>
      <c r="F1157" s="56"/>
      <c r="G1157" s="26">
        <f>SUM(G1150:G1156)</f>
        <v>101589726000</v>
      </c>
      <c r="H1157" s="26">
        <f>SUM(H1150:H1156)</f>
        <v>19448244917.309998</v>
      </c>
      <c r="I1157" s="26">
        <f t="shared" si="49"/>
        <v>121037970917.31</v>
      </c>
    </row>
    <row r="1159" spans="1:6" ht="12.75">
      <c r="A1159" s="8">
        <v>13</v>
      </c>
      <c r="B1159" s="9" t="s">
        <v>766</v>
      </c>
      <c r="C1159" s="8"/>
      <c r="D1159" s="9"/>
      <c r="E1159" s="57" t="s">
        <v>960</v>
      </c>
      <c r="F1159" s="57"/>
    </row>
    <row r="1160" spans="1:6" ht="12.75">
      <c r="A1160" s="8"/>
      <c r="B1160" s="9"/>
      <c r="C1160" s="8" t="s">
        <v>788</v>
      </c>
      <c r="D1160" s="9"/>
      <c r="E1160" s="57" t="s">
        <v>789</v>
      </c>
      <c r="F1160" s="57"/>
    </row>
    <row r="1161" spans="4:9" ht="12.75">
      <c r="D1161" s="5" t="s">
        <v>911</v>
      </c>
      <c r="E1161" s="55" t="s">
        <v>199</v>
      </c>
      <c r="F1161" s="55"/>
      <c r="G1161" s="24">
        <v>31847000</v>
      </c>
      <c r="H1161" s="24">
        <v>0</v>
      </c>
      <c r="I1161" s="24">
        <f aca="true" t="shared" si="50" ref="I1161:I1175">G1161+H1161</f>
        <v>31847000</v>
      </c>
    </row>
    <row r="1162" spans="4:9" ht="12.75">
      <c r="D1162" s="5" t="s">
        <v>912</v>
      </c>
      <c r="E1162" s="55" t="s">
        <v>877</v>
      </c>
      <c r="F1162" s="55"/>
      <c r="G1162" s="24">
        <v>5783000</v>
      </c>
      <c r="H1162" s="24">
        <v>0</v>
      </c>
      <c r="I1162" s="24">
        <f t="shared" si="50"/>
        <v>5783000</v>
      </c>
    </row>
    <row r="1163" spans="4:9" ht="12.75">
      <c r="D1163" s="5" t="s">
        <v>918</v>
      </c>
      <c r="E1163" s="55" t="s">
        <v>878</v>
      </c>
      <c r="F1163" s="55"/>
      <c r="G1163" s="24">
        <v>150000</v>
      </c>
      <c r="H1163" s="24">
        <v>0</v>
      </c>
      <c r="I1163" s="24">
        <f t="shared" si="50"/>
        <v>150000</v>
      </c>
    </row>
    <row r="1164" spans="4:9" ht="12.75">
      <c r="D1164" s="5" t="s">
        <v>921</v>
      </c>
      <c r="E1164" s="55" t="s">
        <v>880</v>
      </c>
      <c r="F1164" s="55"/>
      <c r="G1164" s="24">
        <v>181000</v>
      </c>
      <c r="H1164" s="24">
        <v>0</v>
      </c>
      <c r="I1164" s="24">
        <f t="shared" si="50"/>
        <v>181000</v>
      </c>
    </row>
    <row r="1165" spans="4:9" ht="12.75">
      <c r="D1165" s="5" t="s">
        <v>919</v>
      </c>
      <c r="E1165" s="55" t="s">
        <v>200</v>
      </c>
      <c r="F1165" s="55"/>
      <c r="G1165" s="24">
        <v>1700000</v>
      </c>
      <c r="H1165" s="24">
        <v>0</v>
      </c>
      <c r="I1165" s="24">
        <f t="shared" si="50"/>
        <v>1700000</v>
      </c>
    </row>
    <row r="1166" spans="4:9" ht="12.75">
      <c r="D1166" s="5" t="s">
        <v>922</v>
      </c>
      <c r="E1166" s="55" t="s">
        <v>201</v>
      </c>
      <c r="F1166" s="55"/>
      <c r="G1166" s="24">
        <v>97550000</v>
      </c>
      <c r="H1166" s="24">
        <v>0</v>
      </c>
      <c r="I1166" s="24">
        <f t="shared" si="50"/>
        <v>97550000</v>
      </c>
    </row>
    <row r="1167" spans="4:9" ht="12.75">
      <c r="D1167" s="5" t="s">
        <v>913</v>
      </c>
      <c r="E1167" s="55" t="s">
        <v>881</v>
      </c>
      <c r="F1167" s="55"/>
      <c r="G1167" s="24">
        <v>2032000</v>
      </c>
      <c r="H1167" s="24">
        <v>0</v>
      </c>
      <c r="I1167" s="24">
        <f t="shared" si="50"/>
        <v>2032000</v>
      </c>
    </row>
    <row r="1168" spans="4:9" ht="12.75">
      <c r="D1168" s="5" t="s">
        <v>915</v>
      </c>
      <c r="E1168" s="55" t="s">
        <v>879</v>
      </c>
      <c r="F1168" s="55"/>
      <c r="G1168" s="24">
        <v>2487000</v>
      </c>
      <c r="H1168" s="24">
        <v>0</v>
      </c>
      <c r="I1168" s="24">
        <f t="shared" si="50"/>
        <v>2487000</v>
      </c>
    </row>
    <row r="1169" spans="4:9" ht="12.75">
      <c r="D1169" s="5" t="s">
        <v>916</v>
      </c>
      <c r="E1169" s="55" t="s">
        <v>882</v>
      </c>
      <c r="F1169" s="55"/>
      <c r="G1169" s="24">
        <v>7037000</v>
      </c>
      <c r="H1169" s="24">
        <v>91587361.47</v>
      </c>
      <c r="I1169" s="24">
        <f t="shared" si="50"/>
        <v>98624361.47</v>
      </c>
    </row>
    <row r="1170" spans="4:9" ht="12.75">
      <c r="D1170" s="5" t="s">
        <v>924</v>
      </c>
      <c r="E1170" s="55" t="s">
        <v>203</v>
      </c>
      <c r="F1170" s="55"/>
      <c r="G1170" s="24">
        <v>336000</v>
      </c>
      <c r="H1170" s="24">
        <v>0</v>
      </c>
      <c r="I1170" s="24">
        <f t="shared" si="50"/>
        <v>336000</v>
      </c>
    </row>
    <row r="1171" spans="4:9" ht="12.75">
      <c r="D1171" s="5" t="s">
        <v>925</v>
      </c>
      <c r="E1171" s="55" t="s">
        <v>884</v>
      </c>
      <c r="F1171" s="55"/>
      <c r="G1171" s="24">
        <v>835000</v>
      </c>
      <c r="H1171" s="24">
        <v>0</v>
      </c>
      <c r="I1171" s="24">
        <f t="shared" si="50"/>
        <v>835000</v>
      </c>
    </row>
    <row r="1172" spans="4:9" ht="12.75">
      <c r="D1172" s="5" t="s">
        <v>754</v>
      </c>
      <c r="E1172" s="55" t="s">
        <v>212</v>
      </c>
      <c r="F1172" s="55"/>
      <c r="G1172" s="24">
        <v>300000</v>
      </c>
      <c r="H1172" s="24">
        <v>90000</v>
      </c>
      <c r="I1172" s="24">
        <f t="shared" si="50"/>
        <v>390000</v>
      </c>
    </row>
    <row r="1173" spans="4:9" ht="24.75" customHeight="1">
      <c r="D1173" s="5" t="s">
        <v>757</v>
      </c>
      <c r="E1173" s="55" t="s">
        <v>888</v>
      </c>
      <c r="F1173" s="55"/>
      <c r="G1173" s="24">
        <v>161055000</v>
      </c>
      <c r="H1173" s="24">
        <v>0</v>
      </c>
      <c r="I1173" s="24">
        <f t="shared" si="50"/>
        <v>161055000</v>
      </c>
    </row>
    <row r="1174" spans="4:9" ht="12.75">
      <c r="D1174" s="5" t="s">
        <v>926</v>
      </c>
      <c r="E1174" s="55" t="s">
        <v>885</v>
      </c>
      <c r="F1174" s="55"/>
      <c r="G1174" s="24">
        <v>40825000</v>
      </c>
      <c r="H1174" s="24">
        <v>750000</v>
      </c>
      <c r="I1174" s="24">
        <f t="shared" si="50"/>
        <v>41575000</v>
      </c>
    </row>
    <row r="1175" spans="4:9" ht="13.5" thickBot="1">
      <c r="D1175" s="5" t="s">
        <v>927</v>
      </c>
      <c r="E1175" s="55" t="s">
        <v>886</v>
      </c>
      <c r="F1175" s="55"/>
      <c r="G1175" s="24">
        <v>115000</v>
      </c>
      <c r="H1175" s="24">
        <v>1491520</v>
      </c>
      <c r="I1175" s="24">
        <f t="shared" si="50"/>
        <v>1606520</v>
      </c>
    </row>
    <row r="1176" spans="5:9" ht="12.75">
      <c r="E1176" s="58" t="s">
        <v>700</v>
      </c>
      <c r="F1176" s="58"/>
      <c r="G1176" s="25"/>
      <c r="H1176" s="25"/>
      <c r="I1176" s="25"/>
    </row>
    <row r="1177" spans="4:9" ht="12.75">
      <c r="D1177" s="5" t="s">
        <v>772</v>
      </c>
      <c r="E1177" s="55" t="s">
        <v>773</v>
      </c>
      <c r="F1177" s="55"/>
      <c r="G1177" s="24">
        <f>SUM(G1161:G1176)</f>
        <v>352233000</v>
      </c>
      <c r="I1177" s="24">
        <f aca="true" t="shared" si="51" ref="I1177:I1183">G1177+H1177</f>
        <v>352233000</v>
      </c>
    </row>
    <row r="1178" spans="4:9" ht="12.75">
      <c r="D1178" s="5" t="s">
        <v>784</v>
      </c>
      <c r="E1178" s="55" t="s">
        <v>785</v>
      </c>
      <c r="F1178" s="55"/>
      <c r="H1178" s="24">
        <v>14991000</v>
      </c>
      <c r="I1178" s="24">
        <f t="shared" si="51"/>
        <v>14991000</v>
      </c>
    </row>
    <row r="1179" spans="4:9" ht="12.75">
      <c r="D1179" s="5" t="s">
        <v>780</v>
      </c>
      <c r="E1179" s="55" t="s">
        <v>781</v>
      </c>
      <c r="F1179" s="55"/>
      <c r="H1179" s="24">
        <v>76536101</v>
      </c>
      <c r="I1179" s="24">
        <f t="shared" si="51"/>
        <v>76536101</v>
      </c>
    </row>
    <row r="1180" spans="4:9" ht="12.75">
      <c r="D1180" s="5" t="s">
        <v>804</v>
      </c>
      <c r="E1180" s="55" t="s">
        <v>805</v>
      </c>
      <c r="F1180" s="55"/>
      <c r="H1180" s="24">
        <v>750000</v>
      </c>
      <c r="I1180" s="24">
        <f t="shared" si="51"/>
        <v>750000</v>
      </c>
    </row>
    <row r="1181" spans="4:9" ht="12.75">
      <c r="D1181" s="5" t="s">
        <v>825</v>
      </c>
      <c r="E1181" s="55" t="s">
        <v>905</v>
      </c>
      <c r="F1181" s="55"/>
      <c r="H1181" s="24">
        <v>1581520</v>
      </c>
      <c r="I1181" s="24">
        <f t="shared" si="51"/>
        <v>1581520</v>
      </c>
    </row>
    <row r="1182" spans="4:9" ht="13.5" thickBot="1">
      <c r="D1182" s="5" t="s">
        <v>979</v>
      </c>
      <c r="E1182" s="55" t="s">
        <v>374</v>
      </c>
      <c r="F1182" s="55"/>
      <c r="H1182" s="24">
        <v>60260.47</v>
      </c>
      <c r="I1182" s="24">
        <f t="shared" si="51"/>
        <v>60260.47</v>
      </c>
    </row>
    <row r="1183" spans="5:9" ht="13.5" thickBot="1">
      <c r="E1183" s="56" t="s">
        <v>701</v>
      </c>
      <c r="F1183" s="56"/>
      <c r="G1183" s="26">
        <f>SUM(G1177:G1182)</f>
        <v>352233000</v>
      </c>
      <c r="H1183" s="26">
        <f>SUM(H1177:H1182)</f>
        <v>93918881.47</v>
      </c>
      <c r="I1183" s="26">
        <f t="shared" si="51"/>
        <v>446151881.47</v>
      </c>
    </row>
    <row r="1184" spans="5:9" ht="12.75">
      <c r="E1184" s="58" t="s">
        <v>344</v>
      </c>
      <c r="F1184" s="58"/>
      <c r="G1184" s="25"/>
      <c r="H1184" s="25"/>
      <c r="I1184" s="25"/>
    </row>
    <row r="1185" spans="4:9" ht="12.75">
      <c r="D1185" s="5" t="s">
        <v>772</v>
      </c>
      <c r="E1185" s="55" t="s">
        <v>773</v>
      </c>
      <c r="F1185" s="55"/>
      <c r="G1185" s="24">
        <f>+G1177</f>
        <v>352233000</v>
      </c>
      <c r="H1185" s="24">
        <v>0</v>
      </c>
      <c r="I1185" s="24">
        <f aca="true" t="shared" si="52" ref="I1185:I1191">G1185+H1185</f>
        <v>352233000</v>
      </c>
    </row>
    <row r="1186" spans="4:9" ht="12.75">
      <c r="D1186" s="5" t="s">
        <v>784</v>
      </c>
      <c r="E1186" s="55" t="s">
        <v>785</v>
      </c>
      <c r="F1186" s="55"/>
      <c r="G1186" s="24">
        <v>0</v>
      </c>
      <c r="H1186" s="24">
        <f>+H1178</f>
        <v>14991000</v>
      </c>
      <c r="I1186" s="24">
        <f t="shared" si="52"/>
        <v>14991000</v>
      </c>
    </row>
    <row r="1187" spans="4:9" ht="12.75">
      <c r="D1187" s="5" t="s">
        <v>780</v>
      </c>
      <c r="E1187" s="55" t="s">
        <v>781</v>
      </c>
      <c r="F1187" s="55"/>
      <c r="G1187" s="24">
        <v>0</v>
      </c>
      <c r="H1187" s="24">
        <f>+H1179</f>
        <v>76536101</v>
      </c>
      <c r="I1187" s="24">
        <f t="shared" si="52"/>
        <v>76536101</v>
      </c>
    </row>
    <row r="1188" spans="4:9" ht="12.75">
      <c r="D1188" s="5" t="s">
        <v>804</v>
      </c>
      <c r="E1188" s="55" t="s">
        <v>805</v>
      </c>
      <c r="F1188" s="55"/>
      <c r="G1188" s="24">
        <v>0</v>
      </c>
      <c r="H1188" s="24">
        <f>+H1180</f>
        <v>750000</v>
      </c>
      <c r="I1188" s="24">
        <f t="shared" si="52"/>
        <v>750000</v>
      </c>
    </row>
    <row r="1189" spans="4:9" ht="12.75">
      <c r="D1189" s="5" t="s">
        <v>825</v>
      </c>
      <c r="E1189" s="55" t="s">
        <v>905</v>
      </c>
      <c r="F1189" s="55"/>
      <c r="G1189" s="24">
        <v>0</v>
      </c>
      <c r="H1189" s="24">
        <f>+H1181</f>
        <v>1581520</v>
      </c>
      <c r="I1189" s="24">
        <f t="shared" si="52"/>
        <v>1581520</v>
      </c>
    </row>
    <row r="1190" spans="4:9" ht="13.5" thickBot="1">
      <c r="D1190" s="5" t="s">
        <v>979</v>
      </c>
      <c r="E1190" s="55" t="s">
        <v>374</v>
      </c>
      <c r="F1190" s="55"/>
      <c r="G1190" s="24">
        <v>0</v>
      </c>
      <c r="H1190" s="24">
        <f>+H1182</f>
        <v>60260.47</v>
      </c>
      <c r="I1190" s="24">
        <f t="shared" si="52"/>
        <v>60260.47</v>
      </c>
    </row>
    <row r="1191" spans="5:9" ht="13.5" thickBot="1">
      <c r="E1191" s="56" t="s">
        <v>345</v>
      </c>
      <c r="F1191" s="56"/>
      <c r="G1191" s="26">
        <f>SUM(G1185:G1190)</f>
        <v>352233000</v>
      </c>
      <c r="H1191" s="26">
        <f>SUM(H1185:H1190)</f>
        <v>93918881.47</v>
      </c>
      <c r="I1191" s="26">
        <f t="shared" si="52"/>
        <v>446151881.47</v>
      </c>
    </row>
    <row r="1193" spans="1:6" ht="12.75">
      <c r="A1193" s="8" t="s">
        <v>766</v>
      </c>
      <c r="B1193" s="9" t="s">
        <v>518</v>
      </c>
      <c r="C1193" s="8"/>
      <c r="D1193" s="9"/>
      <c r="E1193" s="57" t="s">
        <v>961</v>
      </c>
      <c r="F1193" s="57"/>
    </row>
    <row r="1194" spans="1:6" ht="12.75">
      <c r="A1194" s="8"/>
      <c r="B1194" s="9"/>
      <c r="C1194" s="8" t="s">
        <v>806</v>
      </c>
      <c r="D1194" s="9"/>
      <c r="E1194" s="57" t="s">
        <v>807</v>
      </c>
      <c r="F1194" s="57"/>
    </row>
    <row r="1195" spans="4:9" ht="12.75">
      <c r="D1195" s="5" t="s">
        <v>911</v>
      </c>
      <c r="E1195" s="55" t="s">
        <v>199</v>
      </c>
      <c r="F1195" s="55"/>
      <c r="G1195" s="24">
        <v>1129564000</v>
      </c>
      <c r="H1195" s="24">
        <v>0</v>
      </c>
      <c r="I1195" s="24">
        <f aca="true" t="shared" si="53" ref="I1195:I1212">G1195+H1195</f>
        <v>1129564000</v>
      </c>
    </row>
    <row r="1196" spans="4:9" ht="12.75">
      <c r="D1196" s="5" t="s">
        <v>912</v>
      </c>
      <c r="E1196" s="55" t="s">
        <v>877</v>
      </c>
      <c r="F1196" s="55"/>
      <c r="G1196" s="24">
        <v>283388000</v>
      </c>
      <c r="H1196" s="24">
        <v>0</v>
      </c>
      <c r="I1196" s="24">
        <f t="shared" si="53"/>
        <v>283388000</v>
      </c>
    </row>
    <row r="1197" spans="4:9" ht="12.75">
      <c r="D1197" s="5" t="s">
        <v>918</v>
      </c>
      <c r="E1197" s="55" t="s">
        <v>878</v>
      </c>
      <c r="F1197" s="55"/>
      <c r="G1197" s="24">
        <v>15200000</v>
      </c>
      <c r="H1197" s="24">
        <v>500000</v>
      </c>
      <c r="I1197" s="24">
        <f t="shared" si="53"/>
        <v>15700000</v>
      </c>
    </row>
    <row r="1198" spans="4:9" ht="12.75">
      <c r="D1198" s="5" t="s">
        <v>921</v>
      </c>
      <c r="E1198" s="55" t="s">
        <v>880</v>
      </c>
      <c r="F1198" s="55"/>
      <c r="G1198" s="24">
        <v>400000</v>
      </c>
      <c r="H1198" s="24">
        <v>500000</v>
      </c>
      <c r="I1198" s="24">
        <f t="shared" si="53"/>
        <v>900000</v>
      </c>
    </row>
    <row r="1199" spans="4:9" ht="12.75">
      <c r="D1199" s="5" t="s">
        <v>919</v>
      </c>
      <c r="E1199" s="55" t="s">
        <v>200</v>
      </c>
      <c r="F1199" s="55"/>
      <c r="G1199" s="24">
        <v>7000000</v>
      </c>
      <c r="H1199" s="24">
        <v>500000</v>
      </c>
      <c r="I1199" s="24">
        <f t="shared" si="53"/>
        <v>7500000</v>
      </c>
    </row>
    <row r="1200" spans="4:9" ht="12.75">
      <c r="D1200" s="5" t="s">
        <v>922</v>
      </c>
      <c r="E1200" s="55" t="s">
        <v>201</v>
      </c>
      <c r="F1200" s="55"/>
      <c r="G1200" s="24">
        <v>0</v>
      </c>
      <c r="H1200" s="24">
        <v>500000</v>
      </c>
      <c r="I1200" s="24">
        <f t="shared" si="53"/>
        <v>500000</v>
      </c>
    </row>
    <row r="1201" spans="4:9" ht="12.75">
      <c r="D1201" s="5" t="s">
        <v>913</v>
      </c>
      <c r="E1201" s="55" t="s">
        <v>881</v>
      </c>
      <c r="F1201" s="55"/>
      <c r="G1201" s="24">
        <v>103667000</v>
      </c>
      <c r="H1201" s="24">
        <v>13500000</v>
      </c>
      <c r="I1201" s="24">
        <f t="shared" si="53"/>
        <v>117167000</v>
      </c>
    </row>
    <row r="1202" spans="4:9" ht="12.75">
      <c r="D1202" s="5" t="s">
        <v>915</v>
      </c>
      <c r="E1202" s="55" t="s">
        <v>879</v>
      </c>
      <c r="F1202" s="55"/>
      <c r="G1202" s="24">
        <v>2800000</v>
      </c>
      <c r="H1202" s="24">
        <v>1500000</v>
      </c>
      <c r="I1202" s="24">
        <f t="shared" si="53"/>
        <v>4300000</v>
      </c>
    </row>
    <row r="1203" spans="4:9" ht="12.75">
      <c r="D1203" s="5" t="s">
        <v>916</v>
      </c>
      <c r="E1203" s="55" t="s">
        <v>882</v>
      </c>
      <c r="F1203" s="55"/>
      <c r="G1203" s="24">
        <v>7440000</v>
      </c>
      <c r="H1203" s="24">
        <v>2250000</v>
      </c>
      <c r="I1203" s="24">
        <f t="shared" si="53"/>
        <v>9690000</v>
      </c>
    </row>
    <row r="1204" spans="4:9" ht="12.75">
      <c r="D1204" s="5" t="s">
        <v>923</v>
      </c>
      <c r="E1204" s="55" t="s">
        <v>883</v>
      </c>
      <c r="F1204" s="55"/>
      <c r="G1204" s="24">
        <v>6800000</v>
      </c>
      <c r="H1204" s="24">
        <v>500000</v>
      </c>
      <c r="I1204" s="24">
        <f t="shared" si="53"/>
        <v>7300000</v>
      </c>
    </row>
    <row r="1205" spans="4:9" ht="12.75">
      <c r="D1205" s="5" t="s">
        <v>924</v>
      </c>
      <c r="E1205" s="55" t="s">
        <v>203</v>
      </c>
      <c r="F1205" s="55"/>
      <c r="G1205" s="24">
        <v>14000000</v>
      </c>
      <c r="H1205" s="24">
        <v>1000000</v>
      </c>
      <c r="I1205" s="24">
        <f t="shared" si="53"/>
        <v>15000000</v>
      </c>
    </row>
    <row r="1206" spans="4:9" ht="12.75">
      <c r="D1206" s="5" t="s">
        <v>925</v>
      </c>
      <c r="E1206" s="55" t="s">
        <v>884</v>
      </c>
      <c r="F1206" s="55"/>
      <c r="G1206" s="24">
        <v>166000000</v>
      </c>
      <c r="H1206" s="24">
        <v>2000000</v>
      </c>
      <c r="I1206" s="24">
        <f t="shared" si="53"/>
        <v>168000000</v>
      </c>
    </row>
    <row r="1207" spans="4:9" ht="12.75">
      <c r="D1207" s="5" t="s">
        <v>750</v>
      </c>
      <c r="E1207" s="55" t="s">
        <v>887</v>
      </c>
      <c r="F1207" s="55"/>
      <c r="G1207" s="24">
        <v>0</v>
      </c>
      <c r="H1207" s="24">
        <v>49150000</v>
      </c>
      <c r="I1207" s="24">
        <f t="shared" si="53"/>
        <v>49150000</v>
      </c>
    </row>
    <row r="1208" spans="4:9" ht="12.75">
      <c r="D1208" s="5" t="s">
        <v>754</v>
      </c>
      <c r="E1208" s="55" t="s">
        <v>212</v>
      </c>
      <c r="F1208" s="55"/>
      <c r="G1208" s="24">
        <v>800000</v>
      </c>
      <c r="H1208" s="24">
        <v>100000</v>
      </c>
      <c r="I1208" s="24">
        <f t="shared" si="53"/>
        <v>900000</v>
      </c>
    </row>
    <row r="1209" spans="4:9" ht="12.75">
      <c r="D1209" s="5" t="s">
        <v>755</v>
      </c>
      <c r="E1209" s="55" t="s">
        <v>213</v>
      </c>
      <c r="F1209" s="55"/>
      <c r="G1209" s="24">
        <v>350000</v>
      </c>
      <c r="H1209" s="24">
        <v>0</v>
      </c>
      <c r="I1209" s="24">
        <f t="shared" si="53"/>
        <v>350000</v>
      </c>
    </row>
    <row r="1210" spans="4:9" ht="12.75">
      <c r="D1210" s="5" t="s">
        <v>926</v>
      </c>
      <c r="E1210" s="55" t="s">
        <v>885</v>
      </c>
      <c r="F1210" s="55"/>
      <c r="G1210" s="24">
        <v>73600000</v>
      </c>
      <c r="H1210" s="24">
        <v>2500000</v>
      </c>
      <c r="I1210" s="24">
        <f t="shared" si="53"/>
        <v>76100000</v>
      </c>
    </row>
    <row r="1211" spans="4:9" ht="12.75">
      <c r="D1211" s="5" t="s">
        <v>927</v>
      </c>
      <c r="E1211" s="55" t="s">
        <v>886</v>
      </c>
      <c r="F1211" s="55"/>
      <c r="G1211" s="24">
        <v>9785000</v>
      </c>
      <c r="H1211" s="24">
        <v>24500000</v>
      </c>
      <c r="I1211" s="24">
        <f t="shared" si="53"/>
        <v>34285000</v>
      </c>
    </row>
    <row r="1212" spans="4:9" ht="13.5" thickBot="1">
      <c r="D1212" s="5" t="s">
        <v>934</v>
      </c>
      <c r="E1212" s="55" t="s">
        <v>895</v>
      </c>
      <c r="F1212" s="55"/>
      <c r="G1212" s="24">
        <v>0</v>
      </c>
      <c r="H1212" s="24">
        <v>20000000</v>
      </c>
      <c r="I1212" s="24">
        <f t="shared" si="53"/>
        <v>20000000</v>
      </c>
    </row>
    <row r="1213" spans="5:9" ht="12.75">
      <c r="E1213" s="58" t="s">
        <v>13</v>
      </c>
      <c r="F1213" s="58"/>
      <c r="G1213" s="25"/>
      <c r="H1213" s="25"/>
      <c r="I1213" s="25"/>
    </row>
    <row r="1214" spans="4:9" ht="12.75">
      <c r="D1214" s="5" t="s">
        <v>772</v>
      </c>
      <c r="E1214" s="55" t="s">
        <v>773</v>
      </c>
      <c r="F1214" s="55"/>
      <c r="G1214" s="24">
        <f>SUM(G1195:G1213)</f>
        <v>1820794000</v>
      </c>
      <c r="I1214" s="24">
        <f>G1214+H1214</f>
        <v>1820794000</v>
      </c>
    </row>
    <row r="1215" spans="4:9" ht="12.75">
      <c r="D1215" s="5" t="s">
        <v>784</v>
      </c>
      <c r="E1215" s="55" t="s">
        <v>785</v>
      </c>
      <c r="F1215" s="55"/>
      <c r="H1215" s="24">
        <v>35500000</v>
      </c>
      <c r="I1215" s="24">
        <f>G1215+H1215</f>
        <v>35500000</v>
      </c>
    </row>
    <row r="1216" spans="4:9" ht="13.5" thickBot="1">
      <c r="D1216" s="5" t="s">
        <v>786</v>
      </c>
      <c r="E1216" s="55" t="s">
        <v>787</v>
      </c>
      <c r="F1216" s="55"/>
      <c r="H1216" s="24">
        <v>83500000</v>
      </c>
      <c r="I1216" s="24">
        <f>G1216+H1216</f>
        <v>83500000</v>
      </c>
    </row>
    <row r="1217" spans="5:9" ht="13.5" thickBot="1">
      <c r="E1217" s="56" t="s">
        <v>14</v>
      </c>
      <c r="F1217" s="56"/>
      <c r="G1217" s="26">
        <f>SUM(G1214:G1216)</f>
        <v>1820794000</v>
      </c>
      <c r="H1217" s="26">
        <f>SUM(H1214:H1216)</f>
        <v>119000000</v>
      </c>
      <c r="I1217" s="26">
        <f>G1217+H1217</f>
        <v>1939794000</v>
      </c>
    </row>
    <row r="1218" spans="5:9" ht="12.75">
      <c r="E1218" s="58" t="s">
        <v>111</v>
      </c>
      <c r="F1218" s="58"/>
      <c r="G1218" s="25"/>
      <c r="H1218" s="25"/>
      <c r="I1218" s="25"/>
    </row>
    <row r="1219" spans="4:9" ht="12.75">
      <c r="D1219" s="5" t="s">
        <v>772</v>
      </c>
      <c r="E1219" s="55" t="s">
        <v>773</v>
      </c>
      <c r="F1219" s="55"/>
      <c r="G1219" s="24">
        <f>+G1214</f>
        <v>1820794000</v>
      </c>
      <c r="H1219" s="24">
        <v>0</v>
      </c>
      <c r="I1219" s="24">
        <f>G1219+H1219</f>
        <v>1820794000</v>
      </c>
    </row>
    <row r="1220" spans="4:9" ht="12.75">
      <c r="D1220" s="5" t="s">
        <v>784</v>
      </c>
      <c r="E1220" s="55" t="s">
        <v>785</v>
      </c>
      <c r="F1220" s="55"/>
      <c r="G1220" s="24">
        <v>0</v>
      </c>
      <c r="H1220" s="24">
        <f>+H1215</f>
        <v>35500000</v>
      </c>
      <c r="I1220" s="24">
        <f>G1220+H1220</f>
        <v>35500000</v>
      </c>
    </row>
    <row r="1221" spans="4:9" ht="13.5" thickBot="1">
      <c r="D1221" s="5" t="s">
        <v>786</v>
      </c>
      <c r="E1221" s="55" t="s">
        <v>787</v>
      </c>
      <c r="F1221" s="55"/>
      <c r="G1221" s="24">
        <v>0</v>
      </c>
      <c r="H1221" s="24">
        <f>+H1216</f>
        <v>83500000</v>
      </c>
      <c r="I1221" s="24">
        <f>G1221+H1221</f>
        <v>83500000</v>
      </c>
    </row>
    <row r="1222" spans="5:9" ht="13.5" thickBot="1">
      <c r="E1222" s="56" t="s">
        <v>112</v>
      </c>
      <c r="F1222" s="56"/>
      <c r="G1222" s="26">
        <f>SUM(G1219:G1221)</f>
        <v>1820794000</v>
      </c>
      <c r="H1222" s="26">
        <f>SUM(H1219:H1221)</f>
        <v>119000000</v>
      </c>
      <c r="I1222" s="26">
        <f>G1222+H1222</f>
        <v>1939794000</v>
      </c>
    </row>
    <row r="1223" spans="5:9" ht="12.75">
      <c r="E1223" s="58" t="s">
        <v>36</v>
      </c>
      <c r="F1223" s="58"/>
      <c r="G1223" s="25"/>
      <c r="H1223" s="25"/>
      <c r="I1223" s="25"/>
    </row>
    <row r="1224" spans="4:9" ht="12.75">
      <c r="D1224" s="5" t="s">
        <v>772</v>
      </c>
      <c r="E1224" s="55" t="s">
        <v>773</v>
      </c>
      <c r="F1224" s="55"/>
      <c r="G1224" s="24">
        <f>+G1219+G1185</f>
        <v>2173027000</v>
      </c>
      <c r="H1224" s="24">
        <v>0</v>
      </c>
      <c r="I1224" s="24">
        <f aca="true" t="shared" si="54" ref="I1224:I1231">G1224+H1224</f>
        <v>2173027000</v>
      </c>
    </row>
    <row r="1225" spans="4:9" ht="12.75">
      <c r="D1225" s="5" t="s">
        <v>784</v>
      </c>
      <c r="E1225" s="55" t="s">
        <v>785</v>
      </c>
      <c r="F1225" s="55"/>
      <c r="G1225" s="24">
        <v>0</v>
      </c>
      <c r="H1225" s="24">
        <f>+H1220+H1186</f>
        <v>50491000</v>
      </c>
      <c r="I1225" s="24">
        <f t="shared" si="54"/>
        <v>50491000</v>
      </c>
    </row>
    <row r="1226" spans="4:9" ht="12.75">
      <c r="D1226" s="5" t="s">
        <v>780</v>
      </c>
      <c r="E1226" s="55" t="s">
        <v>781</v>
      </c>
      <c r="F1226" s="55"/>
      <c r="G1226" s="24">
        <v>0</v>
      </c>
      <c r="H1226" s="24">
        <f>+H1187</f>
        <v>76536101</v>
      </c>
      <c r="I1226" s="24">
        <f t="shared" si="54"/>
        <v>76536101</v>
      </c>
    </row>
    <row r="1227" spans="4:9" ht="12.75">
      <c r="D1227" s="5" t="s">
        <v>786</v>
      </c>
      <c r="E1227" s="55" t="s">
        <v>787</v>
      </c>
      <c r="F1227" s="55"/>
      <c r="G1227" s="24">
        <v>0</v>
      </c>
      <c r="H1227" s="24">
        <f>+H1221</f>
        <v>83500000</v>
      </c>
      <c r="I1227" s="24">
        <f t="shared" si="54"/>
        <v>83500000</v>
      </c>
    </row>
    <row r="1228" spans="4:9" ht="12.75">
      <c r="D1228" s="5" t="s">
        <v>804</v>
      </c>
      <c r="E1228" s="55" t="s">
        <v>805</v>
      </c>
      <c r="F1228" s="55"/>
      <c r="G1228" s="24">
        <v>0</v>
      </c>
      <c r="H1228" s="24">
        <f>+H1188</f>
        <v>750000</v>
      </c>
      <c r="I1228" s="24">
        <f t="shared" si="54"/>
        <v>750000</v>
      </c>
    </row>
    <row r="1229" spans="4:9" ht="12.75">
      <c r="D1229" s="5" t="s">
        <v>825</v>
      </c>
      <c r="E1229" s="55" t="s">
        <v>905</v>
      </c>
      <c r="F1229" s="55"/>
      <c r="G1229" s="24">
        <v>0</v>
      </c>
      <c r="H1229" s="24">
        <f>+H1189</f>
        <v>1581520</v>
      </c>
      <c r="I1229" s="24">
        <f t="shared" si="54"/>
        <v>1581520</v>
      </c>
    </row>
    <row r="1230" spans="4:9" ht="13.5" thickBot="1">
      <c r="D1230" s="5" t="s">
        <v>979</v>
      </c>
      <c r="E1230" s="55" t="s">
        <v>374</v>
      </c>
      <c r="F1230" s="55"/>
      <c r="G1230" s="24">
        <v>0</v>
      </c>
      <c r="H1230" s="24">
        <f>+H1190</f>
        <v>60260.47</v>
      </c>
      <c r="I1230" s="24">
        <f t="shared" si="54"/>
        <v>60260.47</v>
      </c>
    </row>
    <row r="1231" spans="5:9" ht="13.5" thickBot="1">
      <c r="E1231" s="56" t="s">
        <v>37</v>
      </c>
      <c r="F1231" s="56"/>
      <c r="G1231" s="26">
        <f>SUM(G1224:G1230)</f>
        <v>2173027000</v>
      </c>
      <c r="H1231" s="26">
        <f>SUM(H1224:H1230)</f>
        <v>212918881.47</v>
      </c>
      <c r="I1231" s="26">
        <f t="shared" si="54"/>
        <v>2385945881.47</v>
      </c>
    </row>
    <row r="1233" spans="1:6" ht="27.75" customHeight="1">
      <c r="A1233" s="8">
        <v>14</v>
      </c>
      <c r="B1233" s="9" t="s">
        <v>766</v>
      </c>
      <c r="C1233" s="8"/>
      <c r="D1233" s="9"/>
      <c r="E1233" s="57" t="s">
        <v>41</v>
      </c>
      <c r="F1233" s="57"/>
    </row>
    <row r="1234" spans="1:6" ht="27.75" customHeight="1">
      <c r="A1234" s="8"/>
      <c r="B1234" s="9"/>
      <c r="C1234" s="8" t="s">
        <v>767</v>
      </c>
      <c r="D1234" s="9"/>
      <c r="E1234" s="57" t="s">
        <v>768</v>
      </c>
      <c r="F1234" s="57"/>
    </row>
    <row r="1235" spans="4:9" ht="12.75">
      <c r="D1235" s="5" t="s">
        <v>911</v>
      </c>
      <c r="E1235" s="55" t="s">
        <v>199</v>
      </c>
      <c r="F1235" s="55"/>
      <c r="G1235" s="24">
        <v>27846000</v>
      </c>
      <c r="H1235" s="24">
        <v>0</v>
      </c>
      <c r="I1235" s="24">
        <f aca="true" t="shared" si="55" ref="I1235:I1247">G1235+H1235</f>
        <v>27846000</v>
      </c>
    </row>
    <row r="1236" spans="4:9" ht="12.75">
      <c r="D1236" s="5" t="s">
        <v>912</v>
      </c>
      <c r="E1236" s="55" t="s">
        <v>877</v>
      </c>
      <c r="F1236" s="55"/>
      <c r="G1236" s="24">
        <v>5022000</v>
      </c>
      <c r="H1236" s="24">
        <v>0</v>
      </c>
      <c r="I1236" s="24">
        <f t="shared" si="55"/>
        <v>5022000</v>
      </c>
    </row>
    <row r="1237" spans="4:9" ht="12.75">
      <c r="D1237" s="5" t="s">
        <v>918</v>
      </c>
      <c r="E1237" s="55" t="s">
        <v>878</v>
      </c>
      <c r="F1237" s="55"/>
      <c r="G1237" s="24">
        <v>131000</v>
      </c>
      <c r="H1237" s="24">
        <v>0</v>
      </c>
      <c r="I1237" s="24">
        <f t="shared" si="55"/>
        <v>131000</v>
      </c>
    </row>
    <row r="1238" spans="4:9" ht="12.75">
      <c r="D1238" s="5" t="s">
        <v>921</v>
      </c>
      <c r="E1238" s="55" t="s">
        <v>880</v>
      </c>
      <c r="F1238" s="55"/>
      <c r="G1238" s="24">
        <v>57718000</v>
      </c>
      <c r="H1238" s="24">
        <v>0</v>
      </c>
      <c r="I1238" s="24">
        <f t="shared" si="55"/>
        <v>57718000</v>
      </c>
    </row>
    <row r="1239" spans="4:9" ht="12.75">
      <c r="D1239" s="5" t="s">
        <v>919</v>
      </c>
      <c r="E1239" s="55" t="s">
        <v>200</v>
      </c>
      <c r="F1239" s="55"/>
      <c r="G1239" s="24">
        <v>1200000</v>
      </c>
      <c r="H1239" s="24">
        <v>0</v>
      </c>
      <c r="I1239" s="24">
        <f t="shared" si="55"/>
        <v>1200000</v>
      </c>
    </row>
    <row r="1240" spans="4:9" ht="12.75">
      <c r="D1240" s="5" t="s">
        <v>913</v>
      </c>
      <c r="E1240" s="55" t="s">
        <v>881</v>
      </c>
      <c r="F1240" s="55"/>
      <c r="G1240" s="24">
        <v>2000000</v>
      </c>
      <c r="H1240" s="24">
        <v>112464</v>
      </c>
      <c r="I1240" s="24">
        <f t="shared" si="55"/>
        <v>2112464</v>
      </c>
    </row>
    <row r="1241" spans="4:9" ht="12.75">
      <c r="D1241" s="5" t="s">
        <v>915</v>
      </c>
      <c r="E1241" s="55" t="s">
        <v>879</v>
      </c>
      <c r="F1241" s="55"/>
      <c r="G1241" s="24">
        <v>2000000</v>
      </c>
      <c r="H1241" s="24">
        <v>2096257</v>
      </c>
      <c r="I1241" s="24">
        <f t="shared" si="55"/>
        <v>4096257</v>
      </c>
    </row>
    <row r="1242" spans="4:9" ht="12.75">
      <c r="D1242" s="5" t="s">
        <v>916</v>
      </c>
      <c r="E1242" s="55" t="s">
        <v>882</v>
      </c>
      <c r="F1242" s="55"/>
      <c r="G1242" s="24">
        <v>1000000</v>
      </c>
      <c r="H1242" s="24">
        <v>23829474.42</v>
      </c>
      <c r="I1242" s="24">
        <f t="shared" si="55"/>
        <v>24829474.42</v>
      </c>
    </row>
    <row r="1243" spans="4:9" ht="12.75">
      <c r="D1243" s="5" t="s">
        <v>923</v>
      </c>
      <c r="E1243" s="55" t="s">
        <v>883</v>
      </c>
      <c r="F1243" s="55"/>
      <c r="G1243" s="24">
        <v>10000</v>
      </c>
      <c r="H1243" s="24">
        <v>0</v>
      </c>
      <c r="I1243" s="24">
        <f t="shared" si="55"/>
        <v>10000</v>
      </c>
    </row>
    <row r="1244" spans="4:9" ht="12.75">
      <c r="D1244" s="5" t="s">
        <v>924</v>
      </c>
      <c r="E1244" s="55" t="s">
        <v>203</v>
      </c>
      <c r="F1244" s="55"/>
      <c r="G1244" s="24">
        <v>500000</v>
      </c>
      <c r="H1244" s="24">
        <v>1125000</v>
      </c>
      <c r="I1244" s="24">
        <f t="shared" si="55"/>
        <v>1625000</v>
      </c>
    </row>
    <row r="1245" spans="4:9" ht="12.75">
      <c r="D1245" s="5" t="s">
        <v>925</v>
      </c>
      <c r="E1245" s="55" t="s">
        <v>884</v>
      </c>
      <c r="F1245" s="55"/>
      <c r="G1245" s="24">
        <v>3577000</v>
      </c>
      <c r="H1245" s="24">
        <v>318205</v>
      </c>
      <c r="I1245" s="24">
        <f t="shared" si="55"/>
        <v>3895205</v>
      </c>
    </row>
    <row r="1246" spans="4:9" ht="12.75">
      <c r="D1246" s="5" t="s">
        <v>754</v>
      </c>
      <c r="E1246" s="55" t="s">
        <v>212</v>
      </c>
      <c r="F1246" s="55"/>
      <c r="G1246" s="24">
        <v>150000</v>
      </c>
      <c r="H1246" s="24">
        <v>0</v>
      </c>
      <c r="I1246" s="24">
        <f t="shared" si="55"/>
        <v>150000</v>
      </c>
    </row>
    <row r="1247" spans="4:9" ht="13.5" thickBot="1">
      <c r="D1247" s="5" t="s">
        <v>927</v>
      </c>
      <c r="E1247" s="55" t="s">
        <v>886</v>
      </c>
      <c r="F1247" s="55"/>
      <c r="G1247" s="24">
        <v>125000</v>
      </c>
      <c r="H1247" s="24">
        <v>275000</v>
      </c>
      <c r="I1247" s="24">
        <f t="shared" si="55"/>
        <v>400000</v>
      </c>
    </row>
    <row r="1248" spans="5:9" ht="12.75">
      <c r="E1248" s="58" t="s">
        <v>342</v>
      </c>
      <c r="F1248" s="58"/>
      <c r="G1248" s="25"/>
      <c r="H1248" s="25"/>
      <c r="I1248" s="25"/>
    </row>
    <row r="1249" spans="4:9" ht="12.75">
      <c r="D1249" s="5" t="s">
        <v>772</v>
      </c>
      <c r="E1249" s="55" t="s">
        <v>773</v>
      </c>
      <c r="F1249" s="55"/>
      <c r="G1249" s="24">
        <f>SUM(G1235:G1248)</f>
        <v>101279000</v>
      </c>
      <c r="I1249" s="24">
        <f aca="true" t="shared" si="56" ref="I1249:I1255">G1249+H1249</f>
        <v>101279000</v>
      </c>
    </row>
    <row r="1250" spans="4:9" ht="12.75">
      <c r="D1250" s="5" t="s">
        <v>784</v>
      </c>
      <c r="E1250" s="55" t="s">
        <v>785</v>
      </c>
      <c r="F1250" s="55"/>
      <c r="H1250" s="24">
        <v>8075000</v>
      </c>
      <c r="I1250" s="24">
        <f t="shared" si="56"/>
        <v>8075000</v>
      </c>
    </row>
    <row r="1251" spans="4:9" ht="12.75">
      <c r="D1251" s="5" t="s">
        <v>778</v>
      </c>
      <c r="E1251" s="55" t="s">
        <v>779</v>
      </c>
      <c r="F1251" s="55"/>
      <c r="H1251" s="24">
        <v>14890000</v>
      </c>
      <c r="I1251" s="24">
        <f t="shared" si="56"/>
        <v>14890000</v>
      </c>
    </row>
    <row r="1252" spans="4:9" ht="12.75">
      <c r="D1252" s="5" t="s">
        <v>780</v>
      </c>
      <c r="E1252" s="55" t="s">
        <v>781</v>
      </c>
      <c r="F1252" s="55"/>
      <c r="H1252" s="24">
        <v>2206344</v>
      </c>
      <c r="I1252" s="24">
        <f t="shared" si="56"/>
        <v>2206344</v>
      </c>
    </row>
    <row r="1253" spans="4:9" ht="12.75">
      <c r="D1253" s="5" t="s">
        <v>825</v>
      </c>
      <c r="E1253" s="55" t="s">
        <v>905</v>
      </c>
      <c r="F1253" s="55"/>
      <c r="H1253" s="24">
        <v>1416638.64</v>
      </c>
      <c r="I1253" s="24">
        <f t="shared" si="56"/>
        <v>1416638.64</v>
      </c>
    </row>
    <row r="1254" spans="4:9" ht="13.5" thickBot="1">
      <c r="D1254" s="5" t="s">
        <v>979</v>
      </c>
      <c r="E1254" s="55" t="s">
        <v>374</v>
      </c>
      <c r="F1254" s="55"/>
      <c r="H1254" s="24">
        <v>1168417.78</v>
      </c>
      <c r="I1254" s="24">
        <f t="shared" si="56"/>
        <v>1168417.78</v>
      </c>
    </row>
    <row r="1255" spans="5:9" ht="13.5" thickBot="1">
      <c r="E1255" s="56" t="s">
        <v>343</v>
      </c>
      <c r="F1255" s="56"/>
      <c r="G1255" s="26">
        <f>SUM(G1249:G1254)</f>
        <v>101279000</v>
      </c>
      <c r="H1255" s="26">
        <f>SUM(H1249:H1254)</f>
        <v>27756400.42</v>
      </c>
      <c r="I1255" s="26">
        <f t="shared" si="56"/>
        <v>129035400.42</v>
      </c>
    </row>
    <row r="1256" spans="5:9" ht="12.75">
      <c r="E1256" s="58" t="s">
        <v>344</v>
      </c>
      <c r="F1256" s="58"/>
      <c r="G1256" s="25"/>
      <c r="H1256" s="25"/>
      <c r="I1256" s="25"/>
    </row>
    <row r="1257" spans="4:9" ht="12.75">
      <c r="D1257" s="5" t="s">
        <v>772</v>
      </c>
      <c r="E1257" s="55" t="s">
        <v>773</v>
      </c>
      <c r="F1257" s="55"/>
      <c r="G1257" s="24">
        <f>+G1249</f>
        <v>101279000</v>
      </c>
      <c r="H1257" s="24">
        <v>0</v>
      </c>
      <c r="I1257" s="24">
        <f aca="true" t="shared" si="57" ref="I1257:I1263">G1257+H1257</f>
        <v>101279000</v>
      </c>
    </row>
    <row r="1258" spans="4:9" ht="12.75">
      <c r="D1258" s="5" t="s">
        <v>784</v>
      </c>
      <c r="E1258" s="55" t="s">
        <v>785</v>
      </c>
      <c r="F1258" s="55"/>
      <c r="G1258" s="24">
        <v>0</v>
      </c>
      <c r="H1258" s="24">
        <f>+H1250</f>
        <v>8075000</v>
      </c>
      <c r="I1258" s="24">
        <f t="shared" si="57"/>
        <v>8075000</v>
      </c>
    </row>
    <row r="1259" spans="4:9" ht="12.75">
      <c r="D1259" s="5" t="s">
        <v>778</v>
      </c>
      <c r="E1259" s="55" t="s">
        <v>779</v>
      </c>
      <c r="F1259" s="55"/>
      <c r="G1259" s="24">
        <v>0</v>
      </c>
      <c r="H1259" s="24">
        <f>+H1251</f>
        <v>14890000</v>
      </c>
      <c r="I1259" s="24">
        <f t="shared" si="57"/>
        <v>14890000</v>
      </c>
    </row>
    <row r="1260" spans="4:9" ht="12.75">
      <c r="D1260" s="5" t="s">
        <v>780</v>
      </c>
      <c r="E1260" s="55" t="s">
        <v>781</v>
      </c>
      <c r="F1260" s="55"/>
      <c r="G1260" s="24">
        <v>0</v>
      </c>
      <c r="H1260" s="24">
        <f>+H1252</f>
        <v>2206344</v>
      </c>
      <c r="I1260" s="24">
        <f t="shared" si="57"/>
        <v>2206344</v>
      </c>
    </row>
    <row r="1261" spans="4:9" ht="12.75">
      <c r="D1261" s="5" t="s">
        <v>825</v>
      </c>
      <c r="E1261" s="55" t="s">
        <v>905</v>
      </c>
      <c r="F1261" s="55"/>
      <c r="G1261" s="24">
        <v>0</v>
      </c>
      <c r="H1261" s="24">
        <f>+H1253</f>
        <v>1416638.64</v>
      </c>
      <c r="I1261" s="24">
        <f t="shared" si="57"/>
        <v>1416638.64</v>
      </c>
    </row>
    <row r="1262" spans="4:9" ht="13.5" thickBot="1">
      <c r="D1262" s="5" t="s">
        <v>979</v>
      </c>
      <c r="E1262" s="55" t="s">
        <v>374</v>
      </c>
      <c r="F1262" s="55"/>
      <c r="G1262" s="24">
        <v>0</v>
      </c>
      <c r="H1262" s="24">
        <f>+H1254</f>
        <v>1168417.78</v>
      </c>
      <c r="I1262" s="24">
        <f t="shared" si="57"/>
        <v>1168417.78</v>
      </c>
    </row>
    <row r="1263" spans="5:9" ht="13.5" thickBot="1">
      <c r="E1263" s="56" t="s">
        <v>345</v>
      </c>
      <c r="F1263" s="56"/>
      <c r="G1263" s="26">
        <f>SUM(G1257:G1262)</f>
        <v>101279000</v>
      </c>
      <c r="H1263" s="26">
        <f>SUM(H1257:H1262)</f>
        <v>27756400.42</v>
      </c>
      <c r="I1263" s="26">
        <f t="shared" si="57"/>
        <v>129035400.42</v>
      </c>
    </row>
    <row r="1265" spans="1:6" ht="12.75">
      <c r="A1265" s="8" t="s">
        <v>766</v>
      </c>
      <c r="B1265" s="9" t="s">
        <v>974</v>
      </c>
      <c r="C1265" s="8"/>
      <c r="D1265" s="9"/>
      <c r="E1265" s="57" t="s">
        <v>42</v>
      </c>
      <c r="F1265" s="57"/>
    </row>
    <row r="1266" spans="1:6" ht="27.75" customHeight="1">
      <c r="A1266" s="8"/>
      <c r="B1266" s="9"/>
      <c r="C1266" s="8" t="s">
        <v>808</v>
      </c>
      <c r="D1266" s="9"/>
      <c r="E1266" s="57" t="s">
        <v>809</v>
      </c>
      <c r="F1266" s="57"/>
    </row>
    <row r="1267" spans="4:9" ht="12.75">
      <c r="D1267" s="5" t="s">
        <v>916</v>
      </c>
      <c r="E1267" s="55" t="s">
        <v>882</v>
      </c>
      <c r="F1267" s="55"/>
      <c r="G1267" s="24">
        <v>0</v>
      </c>
      <c r="H1267" s="24">
        <v>1875000</v>
      </c>
      <c r="I1267" s="24">
        <f>G1267+H1267</f>
        <v>1875000</v>
      </c>
    </row>
    <row r="1268" spans="4:9" ht="12.75">
      <c r="D1268" s="5" t="s">
        <v>930</v>
      </c>
      <c r="E1268" s="55" t="s">
        <v>209</v>
      </c>
      <c r="F1268" s="55"/>
      <c r="G1268" s="24">
        <v>0</v>
      </c>
      <c r="H1268" s="24">
        <v>276448563.64</v>
      </c>
      <c r="I1268" s="24">
        <f>G1268+H1268</f>
        <v>276448563.64</v>
      </c>
    </row>
    <row r="1269" spans="4:9" ht="13.5" thickBot="1">
      <c r="D1269" s="5" t="s">
        <v>927</v>
      </c>
      <c r="E1269" s="55" t="s">
        <v>886</v>
      </c>
      <c r="F1269" s="55"/>
      <c r="G1269" s="24">
        <v>0</v>
      </c>
      <c r="H1269" s="24">
        <v>1250000</v>
      </c>
      <c r="I1269" s="24">
        <f>G1269+H1269</f>
        <v>1250000</v>
      </c>
    </row>
    <row r="1270" spans="5:9" ht="12.75">
      <c r="E1270" s="58" t="s">
        <v>19</v>
      </c>
      <c r="F1270" s="58"/>
      <c r="G1270" s="25"/>
      <c r="H1270" s="25"/>
      <c r="I1270" s="25"/>
    </row>
    <row r="1271" spans="4:9" ht="12.75">
      <c r="D1271" s="5" t="s">
        <v>784</v>
      </c>
      <c r="E1271" s="55" t="s">
        <v>785</v>
      </c>
      <c r="F1271" s="55"/>
      <c r="H1271" s="24">
        <v>62500000</v>
      </c>
      <c r="I1271" s="24">
        <f>G1271+H1271</f>
        <v>62500000</v>
      </c>
    </row>
    <row r="1272" spans="4:9" ht="13.5" thickBot="1">
      <c r="D1272" s="5" t="s">
        <v>825</v>
      </c>
      <c r="E1272" s="55" t="s">
        <v>905</v>
      </c>
      <c r="F1272" s="55"/>
      <c r="H1272" s="24">
        <v>217073563.64</v>
      </c>
      <c r="I1272" s="24">
        <f>G1272+H1272</f>
        <v>217073563.64</v>
      </c>
    </row>
    <row r="1273" spans="5:9" ht="13.5" thickBot="1">
      <c r="E1273" s="56" t="s">
        <v>20</v>
      </c>
      <c r="F1273" s="56"/>
      <c r="G1273" s="26">
        <f>SUM(G1271:G1272)</f>
        <v>0</v>
      </c>
      <c r="H1273" s="26">
        <f>SUM(H1271:H1272)</f>
        <v>279573563.64</v>
      </c>
      <c r="I1273" s="26">
        <f>G1273+H1273</f>
        <v>279573563.64</v>
      </c>
    </row>
    <row r="1274" spans="5:9" ht="12.75">
      <c r="E1274" s="58" t="s">
        <v>271</v>
      </c>
      <c r="F1274" s="58"/>
      <c r="G1274" s="25"/>
      <c r="H1274" s="25"/>
      <c r="I1274" s="25"/>
    </row>
    <row r="1275" spans="4:9" ht="12.75">
      <c r="D1275" s="5" t="s">
        <v>784</v>
      </c>
      <c r="E1275" s="55" t="s">
        <v>785</v>
      </c>
      <c r="F1275" s="55"/>
      <c r="G1275" s="24">
        <v>0</v>
      </c>
      <c r="H1275" s="24">
        <f>+H1271</f>
        <v>62500000</v>
      </c>
      <c r="I1275" s="24">
        <f>G1275+H1275</f>
        <v>62500000</v>
      </c>
    </row>
    <row r="1276" spans="4:9" ht="13.5" thickBot="1">
      <c r="D1276" s="5" t="s">
        <v>825</v>
      </c>
      <c r="E1276" s="55" t="s">
        <v>905</v>
      </c>
      <c r="F1276" s="55"/>
      <c r="G1276" s="24">
        <v>0</v>
      </c>
      <c r="H1276" s="24">
        <f>+H1272</f>
        <v>217073563.64</v>
      </c>
      <c r="I1276" s="24">
        <f>G1276+H1276</f>
        <v>217073563.64</v>
      </c>
    </row>
    <row r="1277" spans="5:9" ht="13.5" thickBot="1">
      <c r="E1277" s="56" t="s">
        <v>272</v>
      </c>
      <c r="F1277" s="56"/>
      <c r="G1277" s="26">
        <f>SUM(G1275:G1276)</f>
        <v>0</v>
      </c>
      <c r="H1277" s="26">
        <f>SUM(H1275:H1276)</f>
        <v>279573563.64</v>
      </c>
      <c r="I1277" s="26">
        <f>G1277+H1277</f>
        <v>279573563.64</v>
      </c>
    </row>
    <row r="1278" spans="5:9" ht="12.75">
      <c r="E1278" s="58" t="s">
        <v>275</v>
      </c>
      <c r="F1278" s="58"/>
      <c r="G1278" s="25"/>
      <c r="H1278" s="25"/>
      <c r="I1278" s="25"/>
    </row>
    <row r="1279" spans="4:9" ht="12.75">
      <c r="D1279" s="5" t="s">
        <v>772</v>
      </c>
      <c r="E1279" s="55" t="s">
        <v>773</v>
      </c>
      <c r="F1279" s="55"/>
      <c r="G1279" s="24">
        <f>+G1257</f>
        <v>101279000</v>
      </c>
      <c r="H1279" s="24">
        <v>0</v>
      </c>
      <c r="I1279" s="24">
        <f aca="true" t="shared" si="58" ref="I1279:I1285">G1279+H1279</f>
        <v>101279000</v>
      </c>
    </row>
    <row r="1280" spans="4:9" ht="12.75">
      <c r="D1280" s="5" t="s">
        <v>784</v>
      </c>
      <c r="E1280" s="55" t="s">
        <v>785</v>
      </c>
      <c r="F1280" s="55"/>
      <c r="G1280" s="24">
        <v>0</v>
      </c>
      <c r="H1280" s="24">
        <f>+H1258+H1275</f>
        <v>70575000</v>
      </c>
      <c r="I1280" s="24">
        <f t="shared" si="58"/>
        <v>70575000</v>
      </c>
    </row>
    <row r="1281" spans="4:9" ht="12.75">
      <c r="D1281" s="5" t="s">
        <v>778</v>
      </c>
      <c r="E1281" s="55" t="s">
        <v>779</v>
      </c>
      <c r="F1281" s="55"/>
      <c r="G1281" s="24">
        <v>0</v>
      </c>
      <c r="H1281" s="24">
        <f>+H1259</f>
        <v>14890000</v>
      </c>
      <c r="I1281" s="24">
        <f t="shared" si="58"/>
        <v>14890000</v>
      </c>
    </row>
    <row r="1282" spans="4:9" ht="12.75">
      <c r="D1282" s="5" t="s">
        <v>780</v>
      </c>
      <c r="E1282" s="55" t="s">
        <v>781</v>
      </c>
      <c r="F1282" s="55"/>
      <c r="G1282" s="24">
        <v>0</v>
      </c>
      <c r="H1282" s="24">
        <f>+H1260</f>
        <v>2206344</v>
      </c>
      <c r="I1282" s="24">
        <f t="shared" si="58"/>
        <v>2206344</v>
      </c>
    </row>
    <row r="1283" spans="4:9" ht="12.75">
      <c r="D1283" s="5" t="s">
        <v>825</v>
      </c>
      <c r="E1283" s="55" t="s">
        <v>905</v>
      </c>
      <c r="F1283" s="55"/>
      <c r="G1283" s="24">
        <v>0</v>
      </c>
      <c r="H1283" s="24">
        <f>+H1261+H1276</f>
        <v>218490202.27999997</v>
      </c>
      <c r="I1283" s="24">
        <f t="shared" si="58"/>
        <v>218490202.27999997</v>
      </c>
    </row>
    <row r="1284" spans="4:9" ht="13.5" thickBot="1">
      <c r="D1284" s="5" t="s">
        <v>979</v>
      </c>
      <c r="E1284" s="55" t="s">
        <v>374</v>
      </c>
      <c r="F1284" s="55"/>
      <c r="G1284" s="24">
        <v>0</v>
      </c>
      <c r="H1284" s="24">
        <f>+H1262</f>
        <v>1168417.78</v>
      </c>
      <c r="I1284" s="24">
        <f t="shared" si="58"/>
        <v>1168417.78</v>
      </c>
    </row>
    <row r="1285" spans="5:9" ht="13.5" thickBot="1">
      <c r="E1285" s="56" t="s">
        <v>276</v>
      </c>
      <c r="F1285" s="56"/>
      <c r="G1285" s="26">
        <f>SUM(G1279:G1284)</f>
        <v>101279000</v>
      </c>
      <c r="H1285" s="26">
        <f>SUM(H1279:H1284)</f>
        <v>307329964.05999994</v>
      </c>
      <c r="I1285" s="26">
        <f t="shared" si="58"/>
        <v>408608964.05999994</v>
      </c>
    </row>
    <row r="1287" spans="1:6" ht="27" customHeight="1">
      <c r="A1287" s="8">
        <v>15</v>
      </c>
      <c r="B1287" s="9" t="s">
        <v>766</v>
      </c>
      <c r="C1287" s="8"/>
      <c r="D1287" s="9"/>
      <c r="E1287" s="57" t="s">
        <v>973</v>
      </c>
      <c r="F1287" s="57"/>
    </row>
    <row r="1288" spans="1:6" ht="12.75">
      <c r="A1288" s="8"/>
      <c r="B1288" s="9"/>
      <c r="C1288" s="8" t="s">
        <v>800</v>
      </c>
      <c r="D1288" s="9"/>
      <c r="E1288" s="57" t="s">
        <v>801</v>
      </c>
      <c r="F1288" s="57"/>
    </row>
    <row r="1289" spans="4:9" ht="12.75">
      <c r="D1289" s="5" t="s">
        <v>911</v>
      </c>
      <c r="E1289" s="55" t="s">
        <v>199</v>
      </c>
      <c r="F1289" s="55"/>
      <c r="G1289" s="24">
        <v>342936000</v>
      </c>
      <c r="H1289" s="24">
        <v>0</v>
      </c>
      <c r="I1289" s="24">
        <f aca="true" t="shared" si="59" ref="I1289:I1300">G1289+H1289</f>
        <v>342936000</v>
      </c>
    </row>
    <row r="1290" spans="4:9" ht="12.75">
      <c r="D1290" s="5" t="s">
        <v>912</v>
      </c>
      <c r="E1290" s="55" t="s">
        <v>877</v>
      </c>
      <c r="F1290" s="55"/>
      <c r="G1290" s="24">
        <v>61518000</v>
      </c>
      <c r="H1290" s="24">
        <v>0</v>
      </c>
      <c r="I1290" s="24">
        <f t="shared" si="59"/>
        <v>61518000</v>
      </c>
    </row>
    <row r="1291" spans="4:9" ht="12.75">
      <c r="D1291" s="5" t="s">
        <v>918</v>
      </c>
      <c r="E1291" s="55" t="s">
        <v>878</v>
      </c>
      <c r="F1291" s="55"/>
      <c r="G1291" s="24">
        <v>30000</v>
      </c>
      <c r="H1291" s="24">
        <v>38000</v>
      </c>
      <c r="I1291" s="24">
        <f t="shared" si="59"/>
        <v>68000</v>
      </c>
    </row>
    <row r="1292" spans="4:9" ht="12.75">
      <c r="D1292" s="5" t="s">
        <v>921</v>
      </c>
      <c r="E1292" s="55" t="s">
        <v>880</v>
      </c>
      <c r="F1292" s="55"/>
      <c r="G1292" s="24">
        <v>1212000</v>
      </c>
      <c r="H1292" s="24">
        <v>2175000</v>
      </c>
      <c r="I1292" s="24">
        <f t="shared" si="59"/>
        <v>3387000</v>
      </c>
    </row>
    <row r="1293" spans="4:9" ht="12.75">
      <c r="D1293" s="5" t="s">
        <v>919</v>
      </c>
      <c r="E1293" s="55" t="s">
        <v>200</v>
      </c>
      <c r="F1293" s="55"/>
      <c r="G1293" s="24">
        <v>3425000</v>
      </c>
      <c r="H1293" s="24">
        <v>6060000</v>
      </c>
      <c r="I1293" s="24">
        <f t="shared" si="59"/>
        <v>9485000</v>
      </c>
    </row>
    <row r="1294" spans="4:9" ht="12.75">
      <c r="D1294" s="5" t="s">
        <v>913</v>
      </c>
      <c r="E1294" s="55" t="s">
        <v>881</v>
      </c>
      <c r="F1294" s="55"/>
      <c r="G1294" s="24">
        <v>3213000</v>
      </c>
      <c r="H1294" s="24">
        <v>6311000</v>
      </c>
      <c r="I1294" s="24">
        <f t="shared" si="59"/>
        <v>9524000</v>
      </c>
    </row>
    <row r="1295" spans="4:9" ht="12.75">
      <c r="D1295" s="5" t="s">
        <v>915</v>
      </c>
      <c r="E1295" s="55" t="s">
        <v>879</v>
      </c>
      <c r="F1295" s="55"/>
      <c r="G1295" s="24">
        <v>340000</v>
      </c>
      <c r="H1295" s="24">
        <v>7768510</v>
      </c>
      <c r="I1295" s="24">
        <f t="shared" si="59"/>
        <v>8108510</v>
      </c>
    </row>
    <row r="1296" spans="4:9" ht="12.75">
      <c r="D1296" s="5" t="s">
        <v>916</v>
      </c>
      <c r="E1296" s="55" t="s">
        <v>882</v>
      </c>
      <c r="F1296" s="55"/>
      <c r="G1296" s="24">
        <v>2512000</v>
      </c>
      <c r="H1296" s="24">
        <v>8478371</v>
      </c>
      <c r="I1296" s="24">
        <f t="shared" si="59"/>
        <v>10990371</v>
      </c>
    </row>
    <row r="1297" spans="4:9" ht="12.75">
      <c r="D1297" s="5" t="s">
        <v>923</v>
      </c>
      <c r="E1297" s="55" t="s">
        <v>883</v>
      </c>
      <c r="F1297" s="55"/>
      <c r="G1297" s="24">
        <v>200000</v>
      </c>
      <c r="H1297" s="24">
        <v>11486275</v>
      </c>
      <c r="I1297" s="24">
        <f t="shared" si="59"/>
        <v>11686275</v>
      </c>
    </row>
    <row r="1298" spans="4:9" ht="12.75">
      <c r="D1298" s="5" t="s">
        <v>924</v>
      </c>
      <c r="E1298" s="55" t="s">
        <v>203</v>
      </c>
      <c r="F1298" s="55"/>
      <c r="G1298" s="24">
        <v>524000</v>
      </c>
      <c r="H1298" s="24">
        <v>2450000</v>
      </c>
      <c r="I1298" s="24">
        <f t="shared" si="59"/>
        <v>2974000</v>
      </c>
    </row>
    <row r="1299" spans="4:9" ht="12.75">
      <c r="D1299" s="5" t="s">
        <v>925</v>
      </c>
      <c r="E1299" s="55" t="s">
        <v>884</v>
      </c>
      <c r="F1299" s="55"/>
      <c r="G1299" s="24">
        <v>1859000</v>
      </c>
      <c r="H1299" s="24">
        <v>5207498.21</v>
      </c>
      <c r="I1299" s="24">
        <f t="shared" si="59"/>
        <v>7066498.21</v>
      </c>
    </row>
    <row r="1300" spans="4:9" ht="12.75">
      <c r="D1300" s="5" t="s">
        <v>749</v>
      </c>
      <c r="E1300" s="55" t="s">
        <v>896</v>
      </c>
      <c r="F1300" s="55"/>
      <c r="G1300" s="7">
        <v>3050000000</v>
      </c>
      <c r="H1300" s="7">
        <v>20325000</v>
      </c>
      <c r="I1300" s="7">
        <f t="shared" si="59"/>
        <v>3070325000</v>
      </c>
    </row>
    <row r="1301" spans="5:7" ht="12.75">
      <c r="E1301" s="55" t="s">
        <v>187</v>
      </c>
      <c r="F1301" s="55"/>
      <c r="G1301" s="24">
        <v>2990000000</v>
      </c>
    </row>
    <row r="1302" spans="5:7" ht="12.75">
      <c r="E1302" s="55" t="s">
        <v>65</v>
      </c>
      <c r="F1302" s="55"/>
      <c r="G1302" s="24">
        <v>60000000</v>
      </c>
    </row>
    <row r="1303" spans="5:6" ht="27" customHeight="1">
      <c r="E1303" s="55" t="s">
        <v>66</v>
      </c>
      <c r="F1303" s="55"/>
    </row>
    <row r="1304" spans="4:9" ht="12.75">
      <c r="D1304" s="5" t="s">
        <v>754</v>
      </c>
      <c r="E1304" s="55" t="s">
        <v>212</v>
      </c>
      <c r="F1304" s="55"/>
      <c r="G1304" s="24">
        <v>630000</v>
      </c>
      <c r="H1304" s="24">
        <v>5225000</v>
      </c>
      <c r="I1304" s="24">
        <f>G1304+H1304</f>
        <v>5855000</v>
      </c>
    </row>
    <row r="1305" spans="4:9" ht="12.75">
      <c r="D1305" s="5" t="s">
        <v>755</v>
      </c>
      <c r="E1305" s="55" t="s">
        <v>213</v>
      </c>
      <c r="F1305" s="55"/>
      <c r="G1305" s="24">
        <v>0</v>
      </c>
      <c r="H1305" s="24">
        <v>550000</v>
      </c>
      <c r="I1305" s="24">
        <f>G1305+H1305</f>
        <v>550000</v>
      </c>
    </row>
    <row r="1306" spans="4:9" ht="12.75">
      <c r="D1306" s="5" t="s">
        <v>926</v>
      </c>
      <c r="E1306" s="55" t="s">
        <v>885</v>
      </c>
      <c r="F1306" s="55"/>
      <c r="G1306" s="24">
        <v>575000</v>
      </c>
      <c r="H1306" s="24">
        <v>0</v>
      </c>
      <c r="I1306" s="24">
        <f>G1306+H1306</f>
        <v>575000</v>
      </c>
    </row>
    <row r="1307" spans="4:9" ht="12.75">
      <c r="D1307" s="5" t="s">
        <v>927</v>
      </c>
      <c r="E1307" s="55" t="s">
        <v>886</v>
      </c>
      <c r="F1307" s="55"/>
      <c r="G1307" s="24">
        <v>506000000</v>
      </c>
      <c r="H1307" s="24">
        <v>32279222.44</v>
      </c>
      <c r="I1307" s="24">
        <f>G1307+H1307</f>
        <v>538279222.44</v>
      </c>
    </row>
    <row r="1308" spans="5:6" ht="27.75" customHeight="1" thickBot="1">
      <c r="E1308" s="55" t="s">
        <v>66</v>
      </c>
      <c r="F1308" s="55"/>
    </row>
    <row r="1309" spans="5:9" ht="12.75">
      <c r="E1309" s="58" t="s">
        <v>30</v>
      </c>
      <c r="F1309" s="58"/>
      <c r="G1309" s="25"/>
      <c r="H1309" s="25"/>
      <c r="I1309" s="25"/>
    </row>
    <row r="1310" spans="4:9" ht="12.75">
      <c r="D1310" s="5" t="s">
        <v>772</v>
      </c>
      <c r="E1310" s="55" t="s">
        <v>773</v>
      </c>
      <c r="F1310" s="55"/>
      <c r="G1310" s="24">
        <f>SUM(G1289:G1309)-G1301-G1302</f>
        <v>3974974000</v>
      </c>
      <c r="I1310" s="24">
        <f>G1310+H1310</f>
        <v>3974974000</v>
      </c>
    </row>
    <row r="1311" spans="4:9" ht="12.75">
      <c r="D1311" s="5" t="s">
        <v>784</v>
      </c>
      <c r="E1311" s="55" t="s">
        <v>785</v>
      </c>
      <c r="F1311" s="55"/>
      <c r="H1311" s="24">
        <v>105039785</v>
      </c>
      <c r="I1311" s="24">
        <f>G1311+H1311</f>
        <v>105039785</v>
      </c>
    </row>
    <row r="1312" spans="4:9" ht="12.75">
      <c r="D1312" s="5" t="s">
        <v>778</v>
      </c>
      <c r="E1312" s="55" t="s">
        <v>779</v>
      </c>
      <c r="F1312" s="55"/>
      <c r="H1312" s="24">
        <v>668294.42</v>
      </c>
      <c r="I1312" s="24">
        <f>G1312+H1312</f>
        <v>668294.42</v>
      </c>
    </row>
    <row r="1313" spans="4:9" ht="12.75">
      <c r="D1313" s="5" t="s">
        <v>780</v>
      </c>
      <c r="E1313" s="55" t="s">
        <v>781</v>
      </c>
      <c r="F1313" s="55"/>
      <c r="H1313" s="24">
        <v>1216371</v>
      </c>
      <c r="I1313" s="24">
        <f>G1313+H1313</f>
        <v>1216371</v>
      </c>
    </row>
    <row r="1314" spans="4:9" ht="12.75">
      <c r="D1314" s="5" t="s">
        <v>825</v>
      </c>
      <c r="E1314" s="55" t="s">
        <v>905</v>
      </c>
      <c r="F1314" s="55"/>
      <c r="H1314" s="24">
        <v>900000</v>
      </c>
      <c r="I1314" s="24">
        <f>G1314+H1314</f>
        <v>900000</v>
      </c>
    </row>
    <row r="1315" spans="4:8" ht="13.5" thickBot="1">
      <c r="D1315" s="5" t="s">
        <v>979</v>
      </c>
      <c r="E1315" s="55" t="s">
        <v>374</v>
      </c>
      <c r="F1315" s="55"/>
      <c r="H1315" s="24">
        <v>529426.23</v>
      </c>
    </row>
    <row r="1316" spans="5:9" ht="13.5" thickBot="1">
      <c r="E1316" s="56" t="s">
        <v>31</v>
      </c>
      <c r="F1316" s="56"/>
      <c r="G1316" s="26">
        <f>SUM(G1310:G1314)</f>
        <v>3974974000</v>
      </c>
      <c r="H1316" s="26">
        <f>SUM(H1310:H1314)</f>
        <v>107824450.42</v>
      </c>
      <c r="I1316" s="26">
        <f>G1316+H1316</f>
        <v>4082798450.42</v>
      </c>
    </row>
    <row r="1318" spans="1:6" ht="12.75">
      <c r="A1318" s="8"/>
      <c r="B1318" s="9"/>
      <c r="C1318" s="8" t="s">
        <v>913</v>
      </c>
      <c r="D1318" s="9"/>
      <c r="E1318" s="57" t="s">
        <v>914</v>
      </c>
      <c r="F1318" s="57"/>
    </row>
    <row r="1319" spans="4:9" ht="12.75">
      <c r="D1319" s="5" t="s">
        <v>913</v>
      </c>
      <c r="E1319" s="55" t="s">
        <v>881</v>
      </c>
      <c r="F1319" s="55"/>
      <c r="G1319" s="24">
        <v>0</v>
      </c>
      <c r="H1319" s="24">
        <v>600000</v>
      </c>
      <c r="I1319" s="24">
        <f>G1319+H1319</f>
        <v>600000</v>
      </c>
    </row>
    <row r="1320" spans="4:9" ht="12.75">
      <c r="D1320" s="5" t="s">
        <v>915</v>
      </c>
      <c r="E1320" s="55" t="s">
        <v>879</v>
      </c>
      <c r="F1320" s="55"/>
      <c r="G1320" s="24">
        <v>0</v>
      </c>
      <c r="H1320" s="24">
        <v>2000000</v>
      </c>
      <c r="I1320" s="24">
        <f>G1320+H1320</f>
        <v>2000000</v>
      </c>
    </row>
    <row r="1321" spans="4:9" ht="12.75">
      <c r="D1321" s="5" t="s">
        <v>916</v>
      </c>
      <c r="E1321" s="55" t="s">
        <v>882</v>
      </c>
      <c r="F1321" s="55"/>
      <c r="G1321" s="24">
        <v>0</v>
      </c>
      <c r="H1321" s="24">
        <v>1000000</v>
      </c>
      <c r="I1321" s="24">
        <f>G1321+H1321</f>
        <v>1000000</v>
      </c>
    </row>
    <row r="1322" spans="4:9" ht="13.5" thickBot="1">
      <c r="D1322" s="5" t="s">
        <v>924</v>
      </c>
      <c r="E1322" s="55" t="s">
        <v>203</v>
      </c>
      <c r="F1322" s="55"/>
      <c r="G1322" s="24">
        <v>0</v>
      </c>
      <c r="H1322" s="24">
        <v>400000</v>
      </c>
      <c r="I1322" s="24">
        <f>G1322+H1322</f>
        <v>400000</v>
      </c>
    </row>
    <row r="1323" spans="5:9" ht="12.75">
      <c r="E1323" s="58" t="s">
        <v>266</v>
      </c>
      <c r="F1323" s="58"/>
      <c r="G1323" s="25"/>
      <c r="H1323" s="25"/>
      <c r="I1323" s="25"/>
    </row>
    <row r="1324" spans="4:9" ht="13.5" thickBot="1">
      <c r="D1324" s="5" t="s">
        <v>784</v>
      </c>
      <c r="E1324" s="55" t="s">
        <v>785</v>
      </c>
      <c r="F1324" s="55"/>
      <c r="H1324" s="24">
        <v>4000000</v>
      </c>
      <c r="I1324" s="24">
        <f>G1324+H1324</f>
        <v>4000000</v>
      </c>
    </row>
    <row r="1325" spans="5:9" ht="13.5" thickBot="1">
      <c r="E1325" s="56" t="s">
        <v>267</v>
      </c>
      <c r="F1325" s="56"/>
      <c r="G1325" s="26">
        <f>SUM(G1324:G1324)</f>
        <v>0</v>
      </c>
      <c r="H1325" s="26">
        <f>SUM(H1324:H1324)</f>
        <v>4000000</v>
      </c>
      <c r="I1325" s="26">
        <f>G1325+H1325</f>
        <v>4000000</v>
      </c>
    </row>
    <row r="1326" spans="5:9" ht="12.75">
      <c r="E1326" s="58" t="s">
        <v>344</v>
      </c>
      <c r="F1326" s="58"/>
      <c r="G1326" s="25"/>
      <c r="H1326" s="25"/>
      <c r="I1326" s="25"/>
    </row>
    <row r="1327" spans="4:9" ht="12.75">
      <c r="D1327" s="5" t="s">
        <v>772</v>
      </c>
      <c r="E1327" s="55" t="s">
        <v>773</v>
      </c>
      <c r="F1327" s="55"/>
      <c r="G1327" s="24">
        <v>3974974000</v>
      </c>
      <c r="H1327" s="24">
        <v>0</v>
      </c>
      <c r="I1327" s="24">
        <f aca="true" t="shared" si="60" ref="I1327:I1333">G1327+H1327</f>
        <v>3974974000</v>
      </c>
    </row>
    <row r="1328" spans="4:9" ht="12.75">
      <c r="D1328" s="5" t="s">
        <v>784</v>
      </c>
      <c r="E1328" s="55" t="s">
        <v>785</v>
      </c>
      <c r="F1328" s="55"/>
      <c r="G1328" s="24">
        <v>0</v>
      </c>
      <c r="H1328" s="24">
        <v>101979785</v>
      </c>
      <c r="I1328" s="24">
        <f t="shared" si="60"/>
        <v>101979785</v>
      </c>
    </row>
    <row r="1329" spans="4:9" ht="12.75">
      <c r="D1329" s="5" t="s">
        <v>778</v>
      </c>
      <c r="E1329" s="55" t="s">
        <v>779</v>
      </c>
      <c r="F1329" s="55"/>
      <c r="G1329" s="24">
        <v>0</v>
      </c>
      <c r="H1329" s="24">
        <v>334147.21</v>
      </c>
      <c r="I1329" s="24">
        <f t="shared" si="60"/>
        <v>334147.21</v>
      </c>
    </row>
    <row r="1330" spans="4:9" ht="12.75">
      <c r="D1330" s="5" t="s">
        <v>780</v>
      </c>
      <c r="E1330" s="55" t="s">
        <v>781</v>
      </c>
      <c r="F1330" s="55"/>
      <c r="G1330" s="24">
        <v>0</v>
      </c>
      <c r="H1330" s="24">
        <v>1216371</v>
      </c>
      <c r="I1330" s="24">
        <f t="shared" si="60"/>
        <v>1216371</v>
      </c>
    </row>
    <row r="1331" spans="4:9" ht="12.75">
      <c r="D1331" s="5" t="s">
        <v>825</v>
      </c>
      <c r="E1331" s="55" t="s">
        <v>905</v>
      </c>
      <c r="F1331" s="55"/>
      <c r="G1331" s="24">
        <v>0</v>
      </c>
      <c r="H1331" s="24">
        <v>900000</v>
      </c>
      <c r="I1331" s="24">
        <f t="shared" si="60"/>
        <v>900000</v>
      </c>
    </row>
    <row r="1332" spans="4:9" ht="13.5" thickBot="1">
      <c r="D1332" s="5" t="s">
        <v>979</v>
      </c>
      <c r="E1332" s="55" t="s">
        <v>374</v>
      </c>
      <c r="F1332" s="55"/>
      <c r="G1332" s="24">
        <v>0</v>
      </c>
      <c r="H1332" s="24">
        <f>+H1315</f>
        <v>529426.23</v>
      </c>
      <c r="I1332" s="24">
        <f t="shared" si="60"/>
        <v>529426.23</v>
      </c>
    </row>
    <row r="1333" spans="5:9" ht="13.5" thickBot="1">
      <c r="E1333" s="56" t="s">
        <v>345</v>
      </c>
      <c r="F1333" s="56"/>
      <c r="G1333" s="26">
        <f>SUM(G1327:G1332)</f>
        <v>3974974000</v>
      </c>
      <c r="H1333" s="26">
        <f>SUM(H1327:H1332)</f>
        <v>104959729.44</v>
      </c>
      <c r="I1333" s="26">
        <f t="shared" si="60"/>
        <v>4079933729.44</v>
      </c>
    </row>
    <row r="1335" spans="1:6" ht="12.75">
      <c r="A1335" s="8" t="s">
        <v>766</v>
      </c>
      <c r="B1335" s="9" t="s">
        <v>105</v>
      </c>
      <c r="C1335" s="8"/>
      <c r="D1335" s="9"/>
      <c r="E1335" s="57" t="s">
        <v>975</v>
      </c>
      <c r="F1335" s="57"/>
    </row>
    <row r="1336" spans="1:6" ht="12.75">
      <c r="A1336" s="8"/>
      <c r="B1336" s="9"/>
      <c r="C1336" s="8" t="s">
        <v>810</v>
      </c>
      <c r="D1336" s="9"/>
      <c r="E1336" s="57" t="s">
        <v>811</v>
      </c>
      <c r="F1336" s="57"/>
    </row>
    <row r="1337" spans="4:9" ht="12.75">
      <c r="D1337" s="5" t="s">
        <v>918</v>
      </c>
      <c r="E1337" s="55" t="s">
        <v>878</v>
      </c>
      <c r="F1337" s="55"/>
      <c r="G1337" s="24">
        <v>48000</v>
      </c>
      <c r="H1337" s="24">
        <v>110000</v>
      </c>
      <c r="I1337" s="24">
        <f aca="true" t="shared" si="61" ref="I1337:I1350">G1337+H1337</f>
        <v>158000</v>
      </c>
    </row>
    <row r="1338" spans="4:9" ht="12.75">
      <c r="D1338" s="5" t="s">
        <v>921</v>
      </c>
      <c r="E1338" s="55" t="s">
        <v>880</v>
      </c>
      <c r="F1338" s="55"/>
      <c r="G1338" s="24">
        <v>80000</v>
      </c>
      <c r="H1338" s="24">
        <v>975000</v>
      </c>
      <c r="I1338" s="24">
        <f t="shared" si="61"/>
        <v>1055000</v>
      </c>
    </row>
    <row r="1339" spans="4:9" ht="12.75">
      <c r="D1339" s="5" t="s">
        <v>922</v>
      </c>
      <c r="E1339" s="55" t="s">
        <v>201</v>
      </c>
      <c r="F1339" s="55"/>
      <c r="G1339" s="24">
        <v>0</v>
      </c>
      <c r="H1339" s="24">
        <v>513000</v>
      </c>
      <c r="I1339" s="24">
        <f t="shared" si="61"/>
        <v>513000</v>
      </c>
    </row>
    <row r="1340" spans="4:9" ht="12.75">
      <c r="D1340" s="5" t="s">
        <v>913</v>
      </c>
      <c r="E1340" s="55" t="s">
        <v>881</v>
      </c>
      <c r="F1340" s="55"/>
      <c r="G1340" s="24">
        <v>2267000</v>
      </c>
      <c r="H1340" s="24">
        <v>6625000</v>
      </c>
      <c r="I1340" s="24">
        <f t="shared" si="61"/>
        <v>8892000</v>
      </c>
    </row>
    <row r="1341" spans="4:9" ht="12.75">
      <c r="D1341" s="5" t="s">
        <v>915</v>
      </c>
      <c r="E1341" s="55" t="s">
        <v>879</v>
      </c>
      <c r="F1341" s="55"/>
      <c r="G1341" s="24">
        <v>400000</v>
      </c>
      <c r="H1341" s="24">
        <v>5744800</v>
      </c>
      <c r="I1341" s="24">
        <f t="shared" si="61"/>
        <v>6144800</v>
      </c>
    </row>
    <row r="1342" spans="4:9" ht="12.75">
      <c r="D1342" s="5" t="s">
        <v>916</v>
      </c>
      <c r="E1342" s="55" t="s">
        <v>882</v>
      </c>
      <c r="F1342" s="55"/>
      <c r="G1342" s="24">
        <v>944000</v>
      </c>
      <c r="H1342" s="24">
        <v>25820146</v>
      </c>
      <c r="I1342" s="24">
        <f t="shared" si="61"/>
        <v>26764146</v>
      </c>
    </row>
    <row r="1343" spans="4:9" ht="12.75">
      <c r="D1343" s="5" t="s">
        <v>923</v>
      </c>
      <c r="E1343" s="55" t="s">
        <v>883</v>
      </c>
      <c r="F1343" s="55"/>
      <c r="G1343" s="24">
        <v>120000</v>
      </c>
      <c r="H1343" s="24">
        <v>637000</v>
      </c>
      <c r="I1343" s="24">
        <f t="shared" si="61"/>
        <v>757000</v>
      </c>
    </row>
    <row r="1344" spans="4:9" ht="12.75">
      <c r="D1344" s="5" t="s">
        <v>924</v>
      </c>
      <c r="E1344" s="55" t="s">
        <v>203</v>
      </c>
      <c r="F1344" s="55"/>
      <c r="G1344" s="24">
        <v>541000</v>
      </c>
      <c r="H1344" s="24">
        <v>3948000</v>
      </c>
      <c r="I1344" s="24">
        <f t="shared" si="61"/>
        <v>4489000</v>
      </c>
    </row>
    <row r="1345" spans="4:9" ht="12.75">
      <c r="D1345" s="5" t="s">
        <v>925</v>
      </c>
      <c r="E1345" s="55" t="s">
        <v>884</v>
      </c>
      <c r="F1345" s="55"/>
      <c r="G1345" s="24">
        <v>949000</v>
      </c>
      <c r="H1345" s="24">
        <v>27838000</v>
      </c>
      <c r="I1345" s="24">
        <f t="shared" si="61"/>
        <v>28787000</v>
      </c>
    </row>
    <row r="1346" spans="4:9" ht="12.75">
      <c r="D1346" s="5" t="s">
        <v>749</v>
      </c>
      <c r="E1346" s="55" t="s">
        <v>896</v>
      </c>
      <c r="F1346" s="55"/>
      <c r="G1346" s="7">
        <v>350000000</v>
      </c>
      <c r="H1346" s="7">
        <v>306238000</v>
      </c>
      <c r="I1346" s="7">
        <f t="shared" si="61"/>
        <v>656238000</v>
      </c>
    </row>
    <row r="1347" spans="5:9" ht="26.25" customHeight="1">
      <c r="E1347" s="55" t="s">
        <v>67</v>
      </c>
      <c r="F1347" s="55"/>
      <c r="G1347" s="7">
        <v>272800000</v>
      </c>
      <c r="I1347" s="7">
        <f t="shared" si="61"/>
        <v>272800000</v>
      </c>
    </row>
    <row r="1348" spans="5:9" ht="26.25" customHeight="1">
      <c r="E1348" s="55" t="s">
        <v>68</v>
      </c>
      <c r="F1348" s="55"/>
      <c r="G1348" s="7">
        <v>25000000</v>
      </c>
      <c r="I1348" s="7">
        <f t="shared" si="61"/>
        <v>25000000</v>
      </c>
    </row>
    <row r="1349" spans="5:9" ht="26.25" customHeight="1">
      <c r="E1349" s="55" t="s">
        <v>69</v>
      </c>
      <c r="F1349" s="55"/>
      <c r="G1349" s="7">
        <v>37500000</v>
      </c>
      <c r="I1349" s="7">
        <f t="shared" si="61"/>
        <v>37500000</v>
      </c>
    </row>
    <row r="1350" spans="5:9" ht="13.5" customHeight="1">
      <c r="E1350" s="55" t="s">
        <v>70</v>
      </c>
      <c r="F1350" s="55"/>
      <c r="G1350" s="7">
        <v>14700000</v>
      </c>
      <c r="I1350" s="7">
        <f t="shared" si="61"/>
        <v>14700000</v>
      </c>
    </row>
    <row r="1351" spans="5:6" ht="27" customHeight="1">
      <c r="E1351" s="55" t="s">
        <v>71</v>
      </c>
      <c r="F1351" s="55"/>
    </row>
    <row r="1352" spans="4:9" ht="12.75">
      <c r="D1352" s="5" t="s">
        <v>754</v>
      </c>
      <c r="E1352" s="55" t="s">
        <v>212</v>
      </c>
      <c r="F1352" s="55"/>
      <c r="G1352" s="24">
        <v>556000</v>
      </c>
      <c r="H1352" s="24">
        <v>6250000</v>
      </c>
      <c r="I1352" s="24">
        <f>G1352+H1352</f>
        <v>6806000</v>
      </c>
    </row>
    <row r="1353" spans="4:9" ht="12.75">
      <c r="D1353" s="5" t="s">
        <v>927</v>
      </c>
      <c r="E1353" s="55" t="s">
        <v>886</v>
      </c>
      <c r="F1353" s="55"/>
      <c r="G1353" s="24">
        <v>2300000</v>
      </c>
      <c r="H1353" s="24">
        <v>14413800</v>
      </c>
      <c r="I1353" s="24">
        <f>G1353+H1353</f>
        <v>16713800</v>
      </c>
    </row>
    <row r="1354" spans="4:9" ht="12.75">
      <c r="D1354" s="5" t="s">
        <v>269</v>
      </c>
      <c r="E1354" s="55" t="s">
        <v>270</v>
      </c>
      <c r="F1354" s="55"/>
      <c r="H1354" s="24">
        <v>4441879.99</v>
      </c>
      <c r="I1354" s="24">
        <f>G1354+H1354</f>
        <v>4441879.99</v>
      </c>
    </row>
    <row r="1355" spans="4:9" ht="13.5" thickBot="1">
      <c r="D1355" s="5" t="s">
        <v>214</v>
      </c>
      <c r="E1355" s="55" t="s">
        <v>215</v>
      </c>
      <c r="F1355" s="55"/>
      <c r="G1355" s="24">
        <v>0</v>
      </c>
      <c r="H1355" s="24">
        <v>16063120.01</v>
      </c>
      <c r="I1355" s="24">
        <f>G1355+H1355</f>
        <v>16063120.01</v>
      </c>
    </row>
    <row r="1356" spans="5:9" ht="12.75">
      <c r="E1356" s="58" t="s">
        <v>38</v>
      </c>
      <c r="F1356" s="58"/>
      <c r="G1356" s="25"/>
      <c r="H1356" s="25"/>
      <c r="I1356" s="25"/>
    </row>
    <row r="1357" spans="4:9" ht="12.75">
      <c r="D1357" s="5" t="s">
        <v>772</v>
      </c>
      <c r="E1357" s="55" t="s">
        <v>773</v>
      </c>
      <c r="F1357" s="55"/>
      <c r="G1357" s="24">
        <f>SUM(G1337:G1356)-G1347-G1348-G1349-G1350</f>
        <v>358205000</v>
      </c>
      <c r="I1357" s="24">
        <f>G1357+H1357</f>
        <v>358205000</v>
      </c>
    </row>
    <row r="1358" spans="4:9" ht="12.75">
      <c r="D1358" s="5" t="s">
        <v>784</v>
      </c>
      <c r="E1358" s="55" t="s">
        <v>785</v>
      </c>
      <c r="F1358" s="55"/>
      <c r="H1358" s="24">
        <v>364298450</v>
      </c>
      <c r="I1358" s="24">
        <f>G1358+H1358</f>
        <v>364298450</v>
      </c>
    </row>
    <row r="1359" spans="4:9" ht="13.5" thickBot="1">
      <c r="D1359" s="5" t="s">
        <v>825</v>
      </c>
      <c r="E1359" s="55" t="s">
        <v>905</v>
      </c>
      <c r="F1359" s="55"/>
      <c r="H1359" s="24">
        <v>55319296</v>
      </c>
      <c r="I1359" s="24">
        <f>G1359+H1359</f>
        <v>55319296</v>
      </c>
    </row>
    <row r="1360" spans="5:9" ht="13.5" thickBot="1">
      <c r="E1360" s="56" t="s">
        <v>39</v>
      </c>
      <c r="F1360" s="56"/>
      <c r="G1360" s="26">
        <f>SUM(G1357:G1359)</f>
        <v>358205000</v>
      </c>
      <c r="H1360" s="26">
        <f>SUM(H1357:H1359)</f>
        <v>419617746</v>
      </c>
      <c r="I1360" s="26">
        <f>G1360+H1360</f>
        <v>777822746</v>
      </c>
    </row>
    <row r="1361" spans="5:9" ht="12.75">
      <c r="E1361" s="58" t="s">
        <v>106</v>
      </c>
      <c r="F1361" s="58"/>
      <c r="G1361" s="25"/>
      <c r="H1361" s="25"/>
      <c r="I1361" s="25"/>
    </row>
    <row r="1362" spans="4:9" ht="12.75">
      <c r="D1362" s="5" t="s">
        <v>772</v>
      </c>
      <c r="E1362" s="55" t="s">
        <v>773</v>
      </c>
      <c r="F1362" s="55"/>
      <c r="G1362" s="24">
        <f>+G1357</f>
        <v>358205000</v>
      </c>
      <c r="H1362" s="24">
        <v>0</v>
      </c>
      <c r="I1362" s="24">
        <f>G1362+H1362</f>
        <v>358205000</v>
      </c>
    </row>
    <row r="1363" spans="4:9" ht="12.75">
      <c r="D1363" s="5" t="s">
        <v>784</v>
      </c>
      <c r="E1363" s="55" t="s">
        <v>785</v>
      </c>
      <c r="F1363" s="55"/>
      <c r="G1363" s="24">
        <v>0</v>
      </c>
      <c r="H1363" s="24">
        <f>+H1358</f>
        <v>364298450</v>
      </c>
      <c r="I1363" s="24">
        <f>G1363+H1363</f>
        <v>364298450</v>
      </c>
    </row>
    <row r="1364" spans="4:9" ht="13.5" thickBot="1">
      <c r="D1364" s="5" t="s">
        <v>825</v>
      </c>
      <c r="E1364" s="55" t="s">
        <v>905</v>
      </c>
      <c r="F1364" s="55"/>
      <c r="G1364" s="24">
        <v>0</v>
      </c>
      <c r="H1364" s="24">
        <f>+H1359</f>
        <v>55319296</v>
      </c>
      <c r="I1364" s="24">
        <f>G1364+H1364</f>
        <v>55319296</v>
      </c>
    </row>
    <row r="1365" spans="5:9" ht="13.5" thickBot="1">
      <c r="E1365" s="56" t="s">
        <v>107</v>
      </c>
      <c r="F1365" s="56"/>
      <c r="G1365" s="26">
        <f>SUM(G1362:G1364)</f>
        <v>358205000</v>
      </c>
      <c r="H1365" s="26">
        <f>SUM(H1362:H1364)</f>
        <v>419617746</v>
      </c>
      <c r="I1365" s="26">
        <f>G1365+H1365</f>
        <v>777822746</v>
      </c>
    </row>
    <row r="1367" spans="1:6" ht="12.75">
      <c r="A1367" s="8" t="s">
        <v>766</v>
      </c>
      <c r="B1367" s="9" t="s">
        <v>108</v>
      </c>
      <c r="C1367" s="8"/>
      <c r="D1367" s="9"/>
      <c r="E1367" s="57" t="s">
        <v>976</v>
      </c>
      <c r="F1367" s="57"/>
    </row>
    <row r="1368" spans="1:6" ht="12.75">
      <c r="A1368" s="8"/>
      <c r="B1368" s="9"/>
      <c r="C1368" s="8" t="s">
        <v>800</v>
      </c>
      <c r="D1368" s="9"/>
      <c r="E1368" s="57" t="s">
        <v>801</v>
      </c>
      <c r="F1368" s="57"/>
    </row>
    <row r="1369" spans="4:9" ht="12.75">
      <c r="D1369" s="5" t="s">
        <v>918</v>
      </c>
      <c r="E1369" s="55" t="s">
        <v>878</v>
      </c>
      <c r="F1369" s="55"/>
      <c r="G1369" s="24">
        <v>22000</v>
      </c>
      <c r="H1369" s="24">
        <v>112000</v>
      </c>
      <c r="I1369" s="24">
        <f aca="true" t="shared" si="62" ref="I1369:I1379">G1369+H1369</f>
        <v>134000</v>
      </c>
    </row>
    <row r="1370" spans="4:9" ht="12.75">
      <c r="D1370" s="5" t="s">
        <v>921</v>
      </c>
      <c r="E1370" s="55" t="s">
        <v>880</v>
      </c>
      <c r="F1370" s="55"/>
      <c r="G1370" s="24">
        <v>150000</v>
      </c>
      <c r="H1370" s="24">
        <v>450000</v>
      </c>
      <c r="I1370" s="24">
        <f t="shared" si="62"/>
        <v>600000</v>
      </c>
    </row>
    <row r="1371" spans="4:9" ht="12.75">
      <c r="D1371" s="5" t="s">
        <v>919</v>
      </c>
      <c r="E1371" s="55" t="s">
        <v>200</v>
      </c>
      <c r="F1371" s="55"/>
      <c r="G1371" s="24">
        <v>300000</v>
      </c>
      <c r="H1371" s="24">
        <v>0</v>
      </c>
      <c r="I1371" s="24">
        <f t="shared" si="62"/>
        <v>300000</v>
      </c>
    </row>
    <row r="1372" spans="4:9" ht="12.75">
      <c r="D1372" s="5" t="s">
        <v>922</v>
      </c>
      <c r="E1372" s="55" t="s">
        <v>201</v>
      </c>
      <c r="F1372" s="55"/>
      <c r="G1372" s="24">
        <v>0</v>
      </c>
      <c r="H1372" s="24">
        <v>190000</v>
      </c>
      <c r="I1372" s="24">
        <f t="shared" si="62"/>
        <v>190000</v>
      </c>
    </row>
    <row r="1373" spans="4:9" ht="12.75">
      <c r="D1373" s="5" t="s">
        <v>913</v>
      </c>
      <c r="E1373" s="55" t="s">
        <v>881</v>
      </c>
      <c r="F1373" s="55"/>
      <c r="G1373" s="24">
        <v>720000</v>
      </c>
      <c r="H1373" s="24">
        <v>3702754.11</v>
      </c>
      <c r="I1373" s="24">
        <f t="shared" si="62"/>
        <v>4422754.109999999</v>
      </c>
    </row>
    <row r="1374" spans="4:9" ht="12.75">
      <c r="D1374" s="5" t="s">
        <v>915</v>
      </c>
      <c r="E1374" s="55" t="s">
        <v>879</v>
      </c>
      <c r="F1374" s="55"/>
      <c r="G1374" s="24">
        <v>200000</v>
      </c>
      <c r="H1374" s="24">
        <v>3092000</v>
      </c>
      <c r="I1374" s="24">
        <f t="shared" si="62"/>
        <v>3292000</v>
      </c>
    </row>
    <row r="1375" spans="4:9" ht="12.75">
      <c r="D1375" s="5" t="s">
        <v>916</v>
      </c>
      <c r="E1375" s="55" t="s">
        <v>882</v>
      </c>
      <c r="F1375" s="55"/>
      <c r="G1375" s="24">
        <v>540000</v>
      </c>
      <c r="H1375" s="24">
        <v>6350000</v>
      </c>
      <c r="I1375" s="24">
        <f t="shared" si="62"/>
        <v>6890000</v>
      </c>
    </row>
    <row r="1376" spans="4:9" ht="12.75">
      <c r="D1376" s="5" t="s">
        <v>923</v>
      </c>
      <c r="E1376" s="55" t="s">
        <v>883</v>
      </c>
      <c r="F1376" s="55"/>
      <c r="G1376" s="24">
        <v>20000</v>
      </c>
      <c r="H1376" s="24">
        <v>300000</v>
      </c>
      <c r="I1376" s="24">
        <f t="shared" si="62"/>
        <v>320000</v>
      </c>
    </row>
    <row r="1377" spans="4:9" ht="12.75">
      <c r="D1377" s="5" t="s">
        <v>924</v>
      </c>
      <c r="E1377" s="55" t="s">
        <v>203</v>
      </c>
      <c r="F1377" s="55"/>
      <c r="G1377" s="24">
        <v>227000</v>
      </c>
      <c r="H1377" s="24">
        <v>1830000</v>
      </c>
      <c r="I1377" s="24">
        <f t="shared" si="62"/>
        <v>2057000</v>
      </c>
    </row>
    <row r="1378" spans="4:9" ht="12.75">
      <c r="D1378" s="5" t="s">
        <v>925</v>
      </c>
      <c r="E1378" s="55" t="s">
        <v>884</v>
      </c>
      <c r="F1378" s="55"/>
      <c r="G1378" s="24">
        <v>428000</v>
      </c>
      <c r="H1378" s="24">
        <v>4110000</v>
      </c>
      <c r="I1378" s="24">
        <f t="shared" si="62"/>
        <v>4538000</v>
      </c>
    </row>
    <row r="1379" spans="4:9" ht="12.75">
      <c r="D1379" s="5" t="s">
        <v>749</v>
      </c>
      <c r="E1379" s="55" t="s">
        <v>896</v>
      </c>
      <c r="F1379" s="55"/>
      <c r="G1379" s="7">
        <v>20000000</v>
      </c>
      <c r="H1379" s="7">
        <v>22992000</v>
      </c>
      <c r="I1379" s="7">
        <f t="shared" si="62"/>
        <v>42992000</v>
      </c>
    </row>
    <row r="1380" spans="5:6" ht="41.25" customHeight="1">
      <c r="E1380" s="55" t="s">
        <v>72</v>
      </c>
      <c r="F1380" s="55"/>
    </row>
    <row r="1381" spans="4:9" ht="12.75">
      <c r="D1381" s="5" t="s">
        <v>754</v>
      </c>
      <c r="E1381" s="55" t="s">
        <v>212</v>
      </c>
      <c r="F1381" s="55"/>
      <c r="G1381" s="24">
        <v>300000</v>
      </c>
      <c r="H1381" s="24">
        <v>1825000</v>
      </c>
      <c r="I1381" s="24">
        <f>G1381+H1381</f>
        <v>2125000</v>
      </c>
    </row>
    <row r="1382" spans="4:9" ht="13.5" thickBot="1">
      <c r="D1382" s="5" t="s">
        <v>927</v>
      </c>
      <c r="E1382" s="55" t="s">
        <v>886</v>
      </c>
      <c r="F1382" s="55"/>
      <c r="G1382" s="24">
        <v>1150000</v>
      </c>
      <c r="H1382" s="24">
        <v>8450000</v>
      </c>
      <c r="I1382" s="24">
        <f>G1382+H1382</f>
        <v>9600000</v>
      </c>
    </row>
    <row r="1383" spans="5:9" ht="12.75">
      <c r="E1383" s="58" t="s">
        <v>30</v>
      </c>
      <c r="F1383" s="58"/>
      <c r="G1383" s="25"/>
      <c r="H1383" s="25"/>
      <c r="I1383" s="25"/>
    </row>
    <row r="1384" spans="4:9" ht="12.75">
      <c r="D1384" s="5" t="s">
        <v>772</v>
      </c>
      <c r="E1384" s="55" t="s">
        <v>773</v>
      </c>
      <c r="F1384" s="55"/>
      <c r="G1384" s="24">
        <f>SUM(G1369:G1383)</f>
        <v>24057000</v>
      </c>
      <c r="I1384" s="24">
        <f>G1384+H1384</f>
        <v>24057000</v>
      </c>
    </row>
    <row r="1385" spans="4:9" ht="12.75">
      <c r="D1385" s="5" t="s">
        <v>784</v>
      </c>
      <c r="E1385" s="55" t="s">
        <v>785</v>
      </c>
      <c r="F1385" s="55"/>
      <c r="H1385" s="24">
        <v>50336000</v>
      </c>
      <c r="I1385" s="24">
        <f>G1385+H1385</f>
        <v>50336000</v>
      </c>
    </row>
    <row r="1386" spans="4:9" ht="13.5" thickBot="1">
      <c r="D1386" s="5" t="s">
        <v>825</v>
      </c>
      <c r="E1386" s="55" t="s">
        <v>905</v>
      </c>
      <c r="F1386" s="55"/>
      <c r="H1386" s="24">
        <v>3067754.11</v>
      </c>
      <c r="I1386" s="24">
        <f>G1386+H1386</f>
        <v>3067754.11</v>
      </c>
    </row>
    <row r="1387" spans="5:9" ht="13.5" thickBot="1">
      <c r="E1387" s="56" t="s">
        <v>31</v>
      </c>
      <c r="F1387" s="56"/>
      <c r="G1387" s="26">
        <f>SUM(G1384:G1386)</f>
        <v>24057000</v>
      </c>
      <c r="H1387" s="26">
        <f>SUM(H1384:H1386)</f>
        <v>53403754.11</v>
      </c>
      <c r="I1387" s="26">
        <f>G1387+H1387</f>
        <v>77460754.11</v>
      </c>
    </row>
    <row r="1388" spans="5:9" ht="12.75">
      <c r="E1388" s="58" t="s">
        <v>125</v>
      </c>
      <c r="F1388" s="58"/>
      <c r="G1388" s="25"/>
      <c r="H1388" s="25"/>
      <c r="I1388" s="25"/>
    </row>
    <row r="1389" spans="4:9" ht="12.75">
      <c r="D1389" s="5" t="s">
        <v>772</v>
      </c>
      <c r="E1389" s="55" t="s">
        <v>773</v>
      </c>
      <c r="F1389" s="55"/>
      <c r="G1389" s="24">
        <f>+G1384</f>
        <v>24057000</v>
      </c>
      <c r="H1389" s="24">
        <v>0</v>
      </c>
      <c r="I1389" s="24">
        <f>G1389+H1389</f>
        <v>24057000</v>
      </c>
    </row>
    <row r="1390" spans="4:9" ht="12.75">
      <c r="D1390" s="5" t="s">
        <v>784</v>
      </c>
      <c r="E1390" s="55" t="s">
        <v>785</v>
      </c>
      <c r="F1390" s="55"/>
      <c r="G1390" s="24">
        <v>0</v>
      </c>
      <c r="H1390" s="24">
        <f>+H1385</f>
        <v>50336000</v>
      </c>
      <c r="I1390" s="24">
        <f>G1390+H1390</f>
        <v>50336000</v>
      </c>
    </row>
    <row r="1391" spans="4:9" ht="13.5" thickBot="1">
      <c r="D1391" s="5" t="s">
        <v>825</v>
      </c>
      <c r="E1391" s="55" t="s">
        <v>905</v>
      </c>
      <c r="F1391" s="55"/>
      <c r="G1391" s="24">
        <v>0</v>
      </c>
      <c r="H1391" s="24">
        <f>+H1386</f>
        <v>3067754.11</v>
      </c>
      <c r="I1391" s="24">
        <f>G1391+H1391</f>
        <v>3067754.11</v>
      </c>
    </row>
    <row r="1392" spans="5:9" ht="13.5" thickBot="1">
      <c r="E1392" s="56" t="s">
        <v>126</v>
      </c>
      <c r="F1392" s="56"/>
      <c r="G1392" s="26">
        <f>SUM(G1389:G1391)</f>
        <v>24057000</v>
      </c>
      <c r="H1392" s="26">
        <f>SUM(H1389:H1391)</f>
        <v>53403754.11</v>
      </c>
      <c r="I1392" s="26">
        <f>G1392+H1392</f>
        <v>77460754.11</v>
      </c>
    </row>
    <row r="1393" ht="8.25" customHeight="1"/>
    <row r="1394" spans="1:6" ht="12.75">
      <c r="A1394" s="8" t="s">
        <v>766</v>
      </c>
      <c r="B1394" s="9" t="s">
        <v>519</v>
      </c>
      <c r="C1394" s="8"/>
      <c r="D1394" s="9"/>
      <c r="E1394" s="57" t="s">
        <v>977</v>
      </c>
      <c r="F1394" s="57"/>
    </row>
    <row r="1395" spans="1:6" ht="12.75">
      <c r="A1395" s="8"/>
      <c r="B1395" s="9"/>
      <c r="C1395" s="8" t="s">
        <v>812</v>
      </c>
      <c r="D1395" s="9"/>
      <c r="E1395" s="57" t="s">
        <v>813</v>
      </c>
      <c r="F1395" s="57"/>
    </row>
    <row r="1396" spans="4:9" ht="12.75">
      <c r="D1396" s="5" t="s">
        <v>913</v>
      </c>
      <c r="E1396" s="55" t="s">
        <v>881</v>
      </c>
      <c r="F1396" s="55"/>
      <c r="G1396" s="24">
        <v>817000</v>
      </c>
      <c r="H1396" s="24">
        <v>395500</v>
      </c>
      <c r="I1396" s="24">
        <f aca="true" t="shared" si="63" ref="I1396:I1404">G1396+H1396</f>
        <v>1212500</v>
      </c>
    </row>
    <row r="1397" spans="4:9" ht="12.75">
      <c r="D1397" s="5" t="s">
        <v>915</v>
      </c>
      <c r="E1397" s="55" t="s">
        <v>879</v>
      </c>
      <c r="F1397" s="55"/>
      <c r="G1397" s="24">
        <v>230000</v>
      </c>
      <c r="H1397" s="24">
        <v>525000</v>
      </c>
      <c r="I1397" s="24">
        <f t="shared" si="63"/>
        <v>755000</v>
      </c>
    </row>
    <row r="1398" spans="4:9" ht="12.75">
      <c r="D1398" s="5" t="s">
        <v>916</v>
      </c>
      <c r="E1398" s="55" t="s">
        <v>882</v>
      </c>
      <c r="F1398" s="55"/>
      <c r="G1398" s="24">
        <v>262000</v>
      </c>
      <c r="H1398" s="24">
        <v>840000</v>
      </c>
      <c r="I1398" s="24">
        <f t="shared" si="63"/>
        <v>1102000</v>
      </c>
    </row>
    <row r="1399" spans="4:9" ht="12.75">
      <c r="D1399" s="5" t="s">
        <v>924</v>
      </c>
      <c r="E1399" s="55" t="s">
        <v>203</v>
      </c>
      <c r="F1399" s="55"/>
      <c r="G1399" s="24">
        <v>207000</v>
      </c>
      <c r="H1399" s="24">
        <v>150000</v>
      </c>
      <c r="I1399" s="24">
        <f t="shared" si="63"/>
        <v>357000</v>
      </c>
    </row>
    <row r="1400" spans="4:9" ht="12.75">
      <c r="D1400" s="5" t="s">
        <v>925</v>
      </c>
      <c r="E1400" s="55" t="s">
        <v>884</v>
      </c>
      <c r="F1400" s="55"/>
      <c r="G1400" s="24">
        <v>457000</v>
      </c>
      <c r="H1400" s="24">
        <v>1000000</v>
      </c>
      <c r="I1400" s="24">
        <f t="shared" si="63"/>
        <v>1457000</v>
      </c>
    </row>
    <row r="1401" spans="4:9" ht="12.75">
      <c r="D1401" s="5" t="s">
        <v>930</v>
      </c>
      <c r="E1401" s="55" t="s">
        <v>209</v>
      </c>
      <c r="F1401" s="55"/>
      <c r="G1401" s="24">
        <v>0</v>
      </c>
      <c r="H1401" s="24">
        <v>41000000</v>
      </c>
      <c r="I1401" s="24">
        <f t="shared" si="63"/>
        <v>41000000</v>
      </c>
    </row>
    <row r="1402" spans="4:9" ht="12.75">
      <c r="D1402" s="5" t="s">
        <v>754</v>
      </c>
      <c r="E1402" s="55" t="s">
        <v>212</v>
      </c>
      <c r="F1402" s="55"/>
      <c r="G1402" s="24">
        <v>100000</v>
      </c>
      <c r="H1402" s="24">
        <v>0</v>
      </c>
      <c r="I1402" s="24">
        <f t="shared" si="63"/>
        <v>100000</v>
      </c>
    </row>
    <row r="1403" spans="4:9" ht="12.75">
      <c r="D1403" s="5" t="s">
        <v>926</v>
      </c>
      <c r="E1403" s="55" t="s">
        <v>885</v>
      </c>
      <c r="F1403" s="55"/>
      <c r="G1403" s="24">
        <v>109250000</v>
      </c>
      <c r="H1403" s="24">
        <v>1509994168</v>
      </c>
      <c r="I1403" s="24">
        <f t="shared" si="63"/>
        <v>1619244168</v>
      </c>
    </row>
    <row r="1404" spans="4:9" ht="13.5" thickBot="1">
      <c r="D1404" s="5" t="s">
        <v>927</v>
      </c>
      <c r="E1404" s="55" t="s">
        <v>886</v>
      </c>
      <c r="F1404" s="55"/>
      <c r="G1404" s="24">
        <v>0</v>
      </c>
      <c r="H1404" s="24">
        <v>1080000</v>
      </c>
      <c r="I1404" s="24">
        <f t="shared" si="63"/>
        <v>1080000</v>
      </c>
    </row>
    <row r="1405" spans="5:9" ht="12.75">
      <c r="E1405" s="58" t="s">
        <v>273</v>
      </c>
      <c r="F1405" s="58"/>
      <c r="G1405" s="25"/>
      <c r="H1405" s="25"/>
      <c r="I1405" s="25"/>
    </row>
    <row r="1406" spans="4:9" ht="12.75">
      <c r="D1406" s="5" t="s">
        <v>772</v>
      </c>
      <c r="E1406" s="55" t="s">
        <v>773</v>
      </c>
      <c r="F1406" s="55"/>
      <c r="G1406" s="24">
        <f>SUM(G1396:G1405)</f>
        <v>111323000</v>
      </c>
      <c r="I1406" s="24">
        <f>G1406+H1406</f>
        <v>111323000</v>
      </c>
    </row>
    <row r="1407" spans="4:9" ht="12.75">
      <c r="D1407" s="5" t="s">
        <v>784</v>
      </c>
      <c r="E1407" s="55" t="s">
        <v>785</v>
      </c>
      <c r="F1407" s="55"/>
      <c r="H1407" s="24">
        <v>1464490500</v>
      </c>
      <c r="I1407" s="24">
        <f>G1407+H1407</f>
        <v>1464490500</v>
      </c>
    </row>
    <row r="1408" spans="4:9" ht="12.75">
      <c r="D1408" s="5" t="s">
        <v>825</v>
      </c>
      <c r="E1408" s="55" t="s">
        <v>905</v>
      </c>
      <c r="F1408" s="55"/>
      <c r="H1408" s="24">
        <v>48522708</v>
      </c>
      <c r="I1408" s="24">
        <f>G1408+H1408</f>
        <v>48522708</v>
      </c>
    </row>
    <row r="1409" spans="4:9" ht="13.5" thickBot="1">
      <c r="D1409" s="5" t="s">
        <v>830</v>
      </c>
      <c r="E1409" s="54" t="s">
        <v>906</v>
      </c>
      <c r="F1409" s="54"/>
      <c r="H1409" s="24">
        <v>41971460</v>
      </c>
      <c r="I1409" s="24">
        <f>G1409+H1409</f>
        <v>41971460</v>
      </c>
    </row>
    <row r="1410" spans="5:9" ht="13.5" thickBot="1">
      <c r="E1410" s="56" t="s">
        <v>274</v>
      </c>
      <c r="F1410" s="56"/>
      <c r="G1410" s="26">
        <f>SUM(G1406:G1408)</f>
        <v>111323000</v>
      </c>
      <c r="H1410" s="26">
        <f>SUM(H1407:H1409)</f>
        <v>1554984668</v>
      </c>
      <c r="I1410" s="26">
        <f>G1410+H1410</f>
        <v>1666307668</v>
      </c>
    </row>
    <row r="1411" spans="5:9" ht="12.75">
      <c r="E1411" s="58" t="s">
        <v>520</v>
      </c>
      <c r="F1411" s="58"/>
      <c r="G1411" s="25"/>
      <c r="H1411" s="25"/>
      <c r="I1411" s="25"/>
    </row>
    <row r="1412" spans="4:9" ht="12.75">
      <c r="D1412" s="5" t="s">
        <v>772</v>
      </c>
      <c r="E1412" s="55" t="s">
        <v>773</v>
      </c>
      <c r="F1412" s="55"/>
      <c r="G1412" s="24">
        <f>+G1406</f>
        <v>111323000</v>
      </c>
      <c r="H1412" s="24">
        <v>0</v>
      </c>
      <c r="I1412" s="24">
        <f>G1412+H1412</f>
        <v>111323000</v>
      </c>
    </row>
    <row r="1413" spans="4:9" ht="12.75">
      <c r="D1413" s="5" t="s">
        <v>784</v>
      </c>
      <c r="E1413" s="55" t="s">
        <v>785</v>
      </c>
      <c r="F1413" s="55"/>
      <c r="G1413" s="24">
        <v>0</v>
      </c>
      <c r="H1413" s="24">
        <f>+H1407</f>
        <v>1464490500</v>
      </c>
      <c r="I1413" s="24">
        <f>G1413+H1413</f>
        <v>1464490500</v>
      </c>
    </row>
    <row r="1414" spans="4:9" ht="12.75">
      <c r="D1414" s="5" t="s">
        <v>825</v>
      </c>
      <c r="E1414" s="55" t="s">
        <v>905</v>
      </c>
      <c r="F1414" s="55"/>
      <c r="G1414" s="24">
        <v>0</v>
      </c>
      <c r="H1414" s="24">
        <f>+H1408</f>
        <v>48522708</v>
      </c>
      <c r="I1414" s="24">
        <f>G1414+H1414</f>
        <v>48522708</v>
      </c>
    </row>
    <row r="1415" spans="4:9" ht="13.5" thickBot="1">
      <c r="D1415" s="5" t="s">
        <v>830</v>
      </c>
      <c r="E1415" s="55" t="s">
        <v>906</v>
      </c>
      <c r="F1415" s="55"/>
      <c r="G1415" s="24">
        <v>0</v>
      </c>
      <c r="H1415" s="24">
        <f>+H1409</f>
        <v>41971460</v>
      </c>
      <c r="I1415" s="24">
        <f>G1415+H1415</f>
        <v>41971460</v>
      </c>
    </row>
    <row r="1416" spans="5:9" ht="13.5" thickBot="1">
      <c r="E1416" s="56" t="s">
        <v>521</v>
      </c>
      <c r="F1416" s="56"/>
      <c r="G1416" s="26">
        <f>SUM(G1412:G1415)</f>
        <v>111323000</v>
      </c>
      <c r="H1416" s="26">
        <f>SUM(H1412:H1415)</f>
        <v>1554984668</v>
      </c>
      <c r="I1416" s="26">
        <f>G1416+H1416</f>
        <v>1666307668</v>
      </c>
    </row>
    <row r="1417" ht="8.25" customHeight="1"/>
    <row r="1418" spans="1:6" ht="12.75">
      <c r="A1418" s="8" t="s">
        <v>766</v>
      </c>
      <c r="B1418" s="9" t="s">
        <v>522</v>
      </c>
      <c r="C1418" s="8"/>
      <c r="D1418" s="9"/>
      <c r="E1418" s="57" t="s">
        <v>978</v>
      </c>
      <c r="F1418" s="57"/>
    </row>
    <row r="1419" spans="1:6" ht="12.75">
      <c r="A1419" s="8"/>
      <c r="B1419" s="9"/>
      <c r="C1419" s="8" t="s">
        <v>800</v>
      </c>
      <c r="D1419" s="9"/>
      <c r="E1419" s="57" t="s">
        <v>801</v>
      </c>
      <c r="F1419" s="57"/>
    </row>
    <row r="1420" spans="4:9" ht="12.75">
      <c r="D1420" s="5" t="s">
        <v>911</v>
      </c>
      <c r="E1420" s="55" t="s">
        <v>199</v>
      </c>
      <c r="F1420" s="55"/>
      <c r="G1420" s="24">
        <v>35702000</v>
      </c>
      <c r="H1420" s="24">
        <v>0</v>
      </c>
      <c r="I1420" s="24">
        <f aca="true" t="shared" si="64" ref="I1420:I1430">G1420+H1420</f>
        <v>35702000</v>
      </c>
    </row>
    <row r="1421" spans="4:9" ht="12.75">
      <c r="D1421" s="5" t="s">
        <v>912</v>
      </c>
      <c r="E1421" s="55" t="s">
        <v>877</v>
      </c>
      <c r="F1421" s="55"/>
      <c r="G1421" s="24">
        <v>6391000</v>
      </c>
      <c r="H1421" s="24">
        <v>0</v>
      </c>
      <c r="I1421" s="24">
        <f t="shared" si="64"/>
        <v>6391000</v>
      </c>
    </row>
    <row r="1422" spans="4:9" ht="12.75">
      <c r="D1422" s="5" t="s">
        <v>921</v>
      </c>
      <c r="E1422" s="55" t="s">
        <v>880</v>
      </c>
      <c r="F1422" s="55"/>
      <c r="G1422" s="24">
        <v>160000</v>
      </c>
      <c r="H1422" s="24">
        <v>71771.17</v>
      </c>
      <c r="I1422" s="24">
        <f t="shared" si="64"/>
        <v>231771.16999999998</v>
      </c>
    </row>
    <row r="1423" spans="4:9" ht="12.75">
      <c r="D1423" s="5" t="s">
        <v>919</v>
      </c>
      <c r="E1423" s="55" t="s">
        <v>200</v>
      </c>
      <c r="F1423" s="55"/>
      <c r="G1423" s="24">
        <v>900000</v>
      </c>
      <c r="H1423" s="24">
        <v>0</v>
      </c>
      <c r="I1423" s="24">
        <f t="shared" si="64"/>
        <v>900000</v>
      </c>
    </row>
    <row r="1424" spans="4:9" ht="12.75">
      <c r="D1424" s="5" t="s">
        <v>913</v>
      </c>
      <c r="E1424" s="55" t="s">
        <v>881</v>
      </c>
      <c r="F1424" s="55"/>
      <c r="G1424" s="24">
        <v>1000000</v>
      </c>
      <c r="H1424" s="24">
        <v>500000</v>
      </c>
      <c r="I1424" s="24">
        <f t="shared" si="64"/>
        <v>1500000</v>
      </c>
    </row>
    <row r="1425" spans="4:9" ht="12.75">
      <c r="D1425" s="5" t="s">
        <v>915</v>
      </c>
      <c r="E1425" s="55" t="s">
        <v>879</v>
      </c>
      <c r="F1425" s="55"/>
      <c r="G1425" s="24">
        <v>460000</v>
      </c>
      <c r="H1425" s="24">
        <v>300000</v>
      </c>
      <c r="I1425" s="24">
        <f t="shared" si="64"/>
        <v>760000</v>
      </c>
    </row>
    <row r="1426" spans="4:9" ht="12.75">
      <c r="D1426" s="5" t="s">
        <v>916</v>
      </c>
      <c r="E1426" s="55" t="s">
        <v>882</v>
      </c>
      <c r="F1426" s="55"/>
      <c r="G1426" s="24">
        <v>128000</v>
      </c>
      <c r="H1426" s="24">
        <v>200000</v>
      </c>
      <c r="I1426" s="24">
        <f t="shared" si="64"/>
        <v>328000</v>
      </c>
    </row>
    <row r="1427" spans="4:9" ht="12.75">
      <c r="D1427" s="5" t="s">
        <v>923</v>
      </c>
      <c r="E1427" s="55" t="s">
        <v>883</v>
      </c>
      <c r="F1427" s="55"/>
      <c r="G1427" s="24">
        <v>50000</v>
      </c>
      <c r="H1427" s="24">
        <v>1900000</v>
      </c>
      <c r="I1427" s="24">
        <f t="shared" si="64"/>
        <v>1950000</v>
      </c>
    </row>
    <row r="1428" spans="4:9" ht="12.75">
      <c r="D1428" s="5" t="s">
        <v>924</v>
      </c>
      <c r="E1428" s="55" t="s">
        <v>203</v>
      </c>
      <c r="F1428" s="55"/>
      <c r="G1428" s="24">
        <v>141000</v>
      </c>
      <c r="H1428" s="24">
        <v>100000</v>
      </c>
      <c r="I1428" s="24">
        <f t="shared" si="64"/>
        <v>241000</v>
      </c>
    </row>
    <row r="1429" spans="4:9" ht="12.75">
      <c r="D1429" s="5" t="s">
        <v>925</v>
      </c>
      <c r="E1429" s="55" t="s">
        <v>884</v>
      </c>
      <c r="F1429" s="55"/>
      <c r="G1429" s="24">
        <v>1000000</v>
      </c>
      <c r="H1429" s="24">
        <v>695089.58</v>
      </c>
      <c r="I1429" s="24">
        <f t="shared" si="64"/>
        <v>1695089.58</v>
      </c>
    </row>
    <row r="1430" spans="4:9" ht="13.5" customHeight="1">
      <c r="D1430" s="5" t="s">
        <v>749</v>
      </c>
      <c r="E1430" s="55" t="s">
        <v>896</v>
      </c>
      <c r="F1430" s="55"/>
      <c r="G1430" s="7">
        <v>60000000</v>
      </c>
      <c r="H1430" s="7">
        <v>327954624.64</v>
      </c>
      <c r="I1430" s="7">
        <f t="shared" si="64"/>
        <v>387954624.64</v>
      </c>
    </row>
    <row r="1431" spans="5:6" ht="12.75">
      <c r="E1431" s="55" t="s">
        <v>73</v>
      </c>
      <c r="F1431" s="55"/>
    </row>
    <row r="1432" spans="5:7" ht="12.75">
      <c r="E1432" s="55" t="s">
        <v>74</v>
      </c>
      <c r="F1432" s="55"/>
      <c r="G1432" s="24">
        <v>40280000</v>
      </c>
    </row>
    <row r="1433" spans="5:7" ht="12.75">
      <c r="E1433" s="55" t="s">
        <v>75</v>
      </c>
      <c r="F1433" s="55"/>
      <c r="G1433" s="24">
        <v>13800000</v>
      </c>
    </row>
    <row r="1434" spans="5:7" ht="12.75">
      <c r="E1434" s="55" t="s">
        <v>76</v>
      </c>
      <c r="F1434" s="55"/>
      <c r="G1434" s="24">
        <v>4000000</v>
      </c>
    </row>
    <row r="1435" spans="5:7" ht="12.75">
      <c r="E1435" s="55" t="s">
        <v>77</v>
      </c>
      <c r="F1435" s="55"/>
      <c r="G1435" s="24">
        <v>1920000</v>
      </c>
    </row>
    <row r="1436" spans="4:9" ht="12.75">
      <c r="D1436" s="5" t="s">
        <v>754</v>
      </c>
      <c r="E1436" s="55" t="s">
        <v>212</v>
      </c>
      <c r="F1436" s="55"/>
      <c r="G1436" s="24">
        <v>200000</v>
      </c>
      <c r="H1436" s="24">
        <v>500000</v>
      </c>
      <c r="I1436" s="24">
        <f>G1436+H1436</f>
        <v>700000</v>
      </c>
    </row>
    <row r="1437" spans="4:9" ht="12.75">
      <c r="D1437" s="5" t="s">
        <v>755</v>
      </c>
      <c r="E1437" s="55" t="s">
        <v>213</v>
      </c>
      <c r="F1437" s="55"/>
      <c r="G1437" s="24">
        <v>10000</v>
      </c>
      <c r="H1437" s="24">
        <v>0</v>
      </c>
      <c r="I1437" s="24">
        <f>G1437+H1437</f>
        <v>10000</v>
      </c>
    </row>
    <row r="1438" spans="4:9" ht="13.5" thickBot="1">
      <c r="D1438" s="5" t="s">
        <v>927</v>
      </c>
      <c r="E1438" s="55" t="s">
        <v>886</v>
      </c>
      <c r="F1438" s="55"/>
      <c r="G1438" s="24">
        <v>0</v>
      </c>
      <c r="H1438" s="24">
        <v>495354.01</v>
      </c>
      <c r="I1438" s="24">
        <f>G1438+H1438</f>
        <v>495354.01</v>
      </c>
    </row>
    <row r="1439" spans="5:9" ht="12.75">
      <c r="E1439" s="58" t="s">
        <v>30</v>
      </c>
      <c r="F1439" s="58"/>
      <c r="G1439" s="25"/>
      <c r="H1439" s="25"/>
      <c r="I1439" s="25"/>
    </row>
    <row r="1440" spans="4:9" ht="12.75">
      <c r="D1440" s="5" t="s">
        <v>772</v>
      </c>
      <c r="E1440" s="55" t="s">
        <v>773</v>
      </c>
      <c r="F1440" s="55"/>
      <c r="G1440" s="24">
        <f>SUM(G1420:G1439)-G1432-G1433-G1434-G1435</f>
        <v>106142000</v>
      </c>
      <c r="I1440" s="24">
        <f>G1440+H1440</f>
        <v>106142000</v>
      </c>
    </row>
    <row r="1441" spans="4:9" ht="12.75">
      <c r="D1441" s="5" t="s">
        <v>784</v>
      </c>
      <c r="E1441" s="55" t="s">
        <v>785</v>
      </c>
      <c r="F1441" s="55"/>
      <c r="H1441" s="24">
        <v>252500000</v>
      </c>
      <c r="I1441" s="24">
        <f>G1441+H1441</f>
        <v>252500000</v>
      </c>
    </row>
    <row r="1442" spans="4:9" ht="13.5" thickBot="1">
      <c r="D1442" s="5" t="s">
        <v>825</v>
      </c>
      <c r="E1442" s="55" t="s">
        <v>905</v>
      </c>
      <c r="F1442" s="55"/>
      <c r="H1442" s="24">
        <v>80216839.4</v>
      </c>
      <c r="I1442" s="24">
        <f>G1442+H1442</f>
        <v>80216839.4</v>
      </c>
    </row>
    <row r="1443" spans="5:9" ht="13.5" thickBot="1">
      <c r="E1443" s="56" t="s">
        <v>31</v>
      </c>
      <c r="F1443" s="56"/>
      <c r="G1443" s="26">
        <f>SUM(G1440:G1442)</f>
        <v>106142000</v>
      </c>
      <c r="H1443" s="26">
        <f>SUM(H1440:H1442)</f>
        <v>332716839.4</v>
      </c>
      <c r="I1443" s="26">
        <f>G1443+H1443</f>
        <v>438858839.4</v>
      </c>
    </row>
    <row r="1444" spans="5:9" ht="12.75">
      <c r="E1444" s="58" t="s">
        <v>523</v>
      </c>
      <c r="F1444" s="58"/>
      <c r="G1444" s="25"/>
      <c r="H1444" s="25"/>
      <c r="I1444" s="25"/>
    </row>
    <row r="1445" spans="4:9" ht="12.75">
      <c r="D1445" s="5" t="s">
        <v>772</v>
      </c>
      <c r="E1445" s="55" t="s">
        <v>773</v>
      </c>
      <c r="F1445" s="55"/>
      <c r="G1445" s="24">
        <f>+G1440</f>
        <v>106142000</v>
      </c>
      <c r="H1445" s="24">
        <v>0</v>
      </c>
      <c r="I1445" s="24">
        <f>G1445+H1445</f>
        <v>106142000</v>
      </c>
    </row>
    <row r="1446" spans="4:9" ht="12.75">
      <c r="D1446" s="5" t="s">
        <v>784</v>
      </c>
      <c r="E1446" s="55" t="s">
        <v>785</v>
      </c>
      <c r="F1446" s="55"/>
      <c r="G1446" s="24">
        <v>0</v>
      </c>
      <c r="H1446" s="24">
        <f>+H1441</f>
        <v>252500000</v>
      </c>
      <c r="I1446" s="24">
        <f>G1446+H1446</f>
        <v>252500000</v>
      </c>
    </row>
    <row r="1447" spans="4:9" ht="13.5" thickBot="1">
      <c r="D1447" s="5" t="s">
        <v>825</v>
      </c>
      <c r="E1447" s="55" t="s">
        <v>905</v>
      </c>
      <c r="F1447" s="55"/>
      <c r="G1447" s="24">
        <v>0</v>
      </c>
      <c r="H1447" s="24">
        <f>+H1442</f>
        <v>80216839.4</v>
      </c>
      <c r="I1447" s="24">
        <f>G1447+H1447</f>
        <v>80216839.4</v>
      </c>
    </row>
    <row r="1448" spans="5:9" ht="13.5" thickBot="1">
      <c r="E1448" s="56" t="s">
        <v>524</v>
      </c>
      <c r="F1448" s="56"/>
      <c r="G1448" s="26">
        <f>SUM(G1445:G1447)</f>
        <v>106142000</v>
      </c>
      <c r="H1448" s="26">
        <f>SUM(H1445:H1447)</f>
        <v>332716839.4</v>
      </c>
      <c r="I1448" s="26">
        <f>G1448+H1448</f>
        <v>438858839.4</v>
      </c>
    </row>
    <row r="1450" spans="1:6" ht="12.75">
      <c r="A1450" s="8" t="s">
        <v>766</v>
      </c>
      <c r="B1450" s="9" t="s">
        <v>525</v>
      </c>
      <c r="C1450" s="8"/>
      <c r="D1450" s="9"/>
      <c r="E1450" s="57" t="s">
        <v>375</v>
      </c>
      <c r="F1450" s="57"/>
    </row>
    <row r="1451" spans="1:6" ht="12.75">
      <c r="A1451" s="8"/>
      <c r="B1451" s="9"/>
      <c r="C1451" s="8" t="s">
        <v>800</v>
      </c>
      <c r="D1451" s="9"/>
      <c r="E1451" s="57" t="s">
        <v>801</v>
      </c>
      <c r="F1451" s="57"/>
    </row>
    <row r="1452" spans="4:9" ht="12.75">
      <c r="D1452" s="5" t="s">
        <v>924</v>
      </c>
      <c r="E1452" s="55" t="s">
        <v>203</v>
      </c>
      <c r="F1452" s="55"/>
      <c r="G1452" s="24">
        <v>20000</v>
      </c>
      <c r="H1452" s="24">
        <v>0</v>
      </c>
      <c r="I1452" s="24">
        <f>G1452+H1452</f>
        <v>20000</v>
      </c>
    </row>
    <row r="1453" spans="4:9" ht="12.75" customHeight="1">
      <c r="D1453" s="5" t="s">
        <v>749</v>
      </c>
      <c r="E1453" s="55" t="s">
        <v>896</v>
      </c>
      <c r="F1453" s="55"/>
      <c r="G1453" s="7">
        <f>70000000-30000000</f>
        <v>40000000</v>
      </c>
      <c r="H1453" s="7">
        <v>0</v>
      </c>
      <c r="I1453" s="7">
        <f>G1453+H1453</f>
        <v>40000000</v>
      </c>
    </row>
    <row r="1454" spans="4:9" ht="12.75">
      <c r="D1454" s="5" t="s">
        <v>927</v>
      </c>
      <c r="E1454" s="55" t="s">
        <v>886</v>
      </c>
      <c r="F1454" s="55"/>
      <c r="G1454" s="24">
        <v>1000000</v>
      </c>
      <c r="H1454" s="24">
        <v>0</v>
      </c>
      <c r="I1454" s="24">
        <f>G1454+H1454</f>
        <v>1000000</v>
      </c>
    </row>
    <row r="1455" spans="4:9" ht="13.5" thickBot="1">
      <c r="D1455" s="5" t="s">
        <v>214</v>
      </c>
      <c r="E1455" s="55" t="s">
        <v>215</v>
      </c>
      <c r="F1455" s="55"/>
      <c r="G1455" s="24">
        <v>1000000</v>
      </c>
      <c r="H1455" s="24">
        <v>0</v>
      </c>
      <c r="I1455" s="24">
        <f>G1455+H1455</f>
        <v>1000000</v>
      </c>
    </row>
    <row r="1456" spans="5:9" ht="12.75">
      <c r="E1456" s="58" t="s">
        <v>30</v>
      </c>
      <c r="F1456" s="58"/>
      <c r="G1456" s="25"/>
      <c r="H1456" s="25"/>
      <c r="I1456" s="25"/>
    </row>
    <row r="1457" spans="4:9" ht="13.5" thickBot="1">
      <c r="D1457" s="5" t="s">
        <v>772</v>
      </c>
      <c r="E1457" s="55" t="s">
        <v>773</v>
      </c>
      <c r="F1457" s="55"/>
      <c r="G1457" s="24">
        <f>SUM(G1452:G1456)</f>
        <v>42020000</v>
      </c>
      <c r="I1457" s="24">
        <f>G1457+H1457</f>
        <v>42020000</v>
      </c>
    </row>
    <row r="1458" spans="5:9" ht="13.5" thickBot="1">
      <c r="E1458" s="56" t="s">
        <v>31</v>
      </c>
      <c r="F1458" s="56"/>
      <c r="G1458" s="26">
        <f>SUM(G1457:G1457)</f>
        <v>42020000</v>
      </c>
      <c r="H1458" s="26">
        <f>SUM(H1457:H1457)</f>
        <v>0</v>
      </c>
      <c r="I1458" s="26">
        <f>G1458+H1458</f>
        <v>42020000</v>
      </c>
    </row>
    <row r="1459" spans="5:9" ht="12.75">
      <c r="E1459" s="58" t="s">
        <v>526</v>
      </c>
      <c r="F1459" s="58"/>
      <c r="G1459" s="25"/>
      <c r="H1459" s="25"/>
      <c r="I1459" s="25"/>
    </row>
    <row r="1460" spans="4:9" ht="13.5" thickBot="1">
      <c r="D1460" s="5" t="s">
        <v>772</v>
      </c>
      <c r="E1460" s="55" t="s">
        <v>773</v>
      </c>
      <c r="F1460" s="55"/>
      <c r="G1460" s="24">
        <f>+G1457</f>
        <v>42020000</v>
      </c>
      <c r="H1460" s="24">
        <v>0</v>
      </c>
      <c r="I1460" s="24">
        <f>G1460+H1460</f>
        <v>42020000</v>
      </c>
    </row>
    <row r="1461" spans="5:9" ht="13.5" thickBot="1">
      <c r="E1461" s="56" t="s">
        <v>527</v>
      </c>
      <c r="F1461" s="56"/>
      <c r="G1461" s="26">
        <f>SUM(G1460:G1460)</f>
        <v>42020000</v>
      </c>
      <c r="H1461" s="26">
        <f>SUM(H1460:H1460)</f>
        <v>0</v>
      </c>
      <c r="I1461" s="26">
        <f>G1461+H1461</f>
        <v>42020000</v>
      </c>
    </row>
    <row r="1462" spans="5:9" ht="12.75">
      <c r="E1462" s="58" t="s">
        <v>281</v>
      </c>
      <c r="F1462" s="58"/>
      <c r="G1462" s="25"/>
      <c r="H1462" s="25"/>
      <c r="I1462" s="25"/>
    </row>
    <row r="1463" spans="4:9" ht="12.75">
      <c r="D1463" s="5" t="s">
        <v>772</v>
      </c>
      <c r="E1463" s="55" t="s">
        <v>773</v>
      </c>
      <c r="F1463" s="55"/>
      <c r="G1463" s="24">
        <v>4646721000</v>
      </c>
      <c r="H1463" s="24">
        <v>0</v>
      </c>
      <c r="I1463" s="24">
        <f aca="true" t="shared" si="65" ref="I1463:I1470">G1463+H1463</f>
        <v>4646721000</v>
      </c>
    </row>
    <row r="1464" spans="4:9" ht="12.75">
      <c r="D1464" s="5" t="s">
        <v>784</v>
      </c>
      <c r="E1464" s="55" t="s">
        <v>785</v>
      </c>
      <c r="F1464" s="55"/>
      <c r="G1464" s="24">
        <v>0</v>
      </c>
      <c r="H1464" s="24">
        <f>+H1446+H1413+H1390+H1363+H1328</f>
        <v>2233604735</v>
      </c>
      <c r="I1464" s="24">
        <f t="shared" si="65"/>
        <v>2233604735</v>
      </c>
    </row>
    <row r="1465" spans="4:9" ht="12.75">
      <c r="D1465" s="5" t="s">
        <v>778</v>
      </c>
      <c r="E1465" s="55" t="s">
        <v>779</v>
      </c>
      <c r="F1465" s="55"/>
      <c r="G1465" s="24">
        <v>0</v>
      </c>
      <c r="H1465" s="24">
        <f>++H1329</f>
        <v>334147.21</v>
      </c>
      <c r="I1465" s="24">
        <f t="shared" si="65"/>
        <v>334147.21</v>
      </c>
    </row>
    <row r="1466" spans="4:9" ht="12.75">
      <c r="D1466" s="5" t="s">
        <v>780</v>
      </c>
      <c r="E1466" s="55" t="s">
        <v>781</v>
      </c>
      <c r="F1466" s="55"/>
      <c r="G1466" s="24">
        <v>0</v>
      </c>
      <c r="H1466" s="24">
        <f>+H1330</f>
        <v>1216371</v>
      </c>
      <c r="I1466" s="24">
        <f t="shared" si="65"/>
        <v>1216371</v>
      </c>
    </row>
    <row r="1467" spans="4:9" ht="12.75">
      <c r="D1467" s="5" t="s">
        <v>825</v>
      </c>
      <c r="E1467" s="55" t="s">
        <v>905</v>
      </c>
      <c r="F1467" s="55"/>
      <c r="G1467" s="24">
        <v>0</v>
      </c>
      <c r="H1467" s="24">
        <f>+H1447+H1414+H1391+H1364+H1331</f>
        <v>188026597.51</v>
      </c>
      <c r="I1467" s="24">
        <f t="shared" si="65"/>
        <v>188026597.51</v>
      </c>
    </row>
    <row r="1468" spans="4:9" ht="12.75">
      <c r="D1468" s="5" t="s">
        <v>830</v>
      </c>
      <c r="E1468" s="55" t="s">
        <v>906</v>
      </c>
      <c r="F1468" s="55"/>
      <c r="G1468" s="24">
        <v>0</v>
      </c>
      <c r="H1468" s="24">
        <f>+H1415</f>
        <v>41971460</v>
      </c>
      <c r="I1468" s="24">
        <f t="shared" si="65"/>
        <v>41971460</v>
      </c>
    </row>
    <row r="1469" spans="4:9" ht="13.5" thickBot="1">
      <c r="D1469" s="5" t="s">
        <v>979</v>
      </c>
      <c r="E1469" s="55" t="s">
        <v>374</v>
      </c>
      <c r="F1469" s="55"/>
      <c r="G1469" s="24">
        <v>0</v>
      </c>
      <c r="H1469" s="24">
        <f>+H1332</f>
        <v>529426.23</v>
      </c>
      <c r="I1469" s="24">
        <f t="shared" si="65"/>
        <v>529426.23</v>
      </c>
    </row>
    <row r="1470" spans="5:9" ht="13.5" thickBot="1">
      <c r="E1470" s="56" t="s">
        <v>282</v>
      </c>
      <c r="F1470" s="56"/>
      <c r="G1470" s="26">
        <f>SUM(G1463:G1468)</f>
        <v>4646721000</v>
      </c>
      <c r="H1470" s="26">
        <f>SUM(H1463:H1469)</f>
        <v>2465682736.9500003</v>
      </c>
      <c r="I1470" s="26">
        <f t="shared" si="65"/>
        <v>7112403736.950001</v>
      </c>
    </row>
    <row r="1472" spans="1:6" ht="12.75">
      <c r="A1472" s="8">
        <v>16</v>
      </c>
      <c r="B1472" s="9" t="s">
        <v>766</v>
      </c>
      <c r="C1472" s="8"/>
      <c r="D1472" s="9"/>
      <c r="E1472" s="57" t="s">
        <v>113</v>
      </c>
      <c r="F1472" s="57"/>
    </row>
    <row r="1473" spans="1:6" ht="25.5" customHeight="1">
      <c r="A1473" s="8"/>
      <c r="B1473" s="9"/>
      <c r="C1473" s="8" t="s">
        <v>802</v>
      </c>
      <c r="D1473" s="9"/>
      <c r="E1473" s="57" t="s">
        <v>803</v>
      </c>
      <c r="F1473" s="57"/>
    </row>
    <row r="1474" spans="4:9" ht="12.75">
      <c r="D1474" s="5" t="s">
        <v>911</v>
      </c>
      <c r="E1474" s="55" t="s">
        <v>199</v>
      </c>
      <c r="F1474" s="55"/>
      <c r="G1474" s="34">
        <v>9156000</v>
      </c>
      <c r="I1474" s="24">
        <f aca="true" t="shared" si="66" ref="I1474:I1482">G1474+H1474</f>
        <v>9156000</v>
      </c>
    </row>
    <row r="1475" spans="4:9" ht="12.75">
      <c r="D1475" s="5" t="s">
        <v>912</v>
      </c>
      <c r="E1475" s="55" t="s">
        <v>877</v>
      </c>
      <c r="F1475" s="55"/>
      <c r="G1475" s="34">
        <v>1652000</v>
      </c>
      <c r="I1475" s="24">
        <f t="shared" si="66"/>
        <v>1652000</v>
      </c>
    </row>
    <row r="1476" spans="4:9" ht="12.75">
      <c r="D1476" s="5" t="s">
        <v>918</v>
      </c>
      <c r="E1476" s="55" t="s">
        <v>878</v>
      </c>
      <c r="F1476" s="55"/>
      <c r="G1476" s="34">
        <v>125000</v>
      </c>
      <c r="I1476" s="24">
        <f t="shared" si="66"/>
        <v>125000</v>
      </c>
    </row>
    <row r="1477" spans="4:9" ht="12.75">
      <c r="D1477" s="5" t="s">
        <v>921</v>
      </c>
      <c r="E1477" s="55" t="s">
        <v>880</v>
      </c>
      <c r="F1477" s="55"/>
      <c r="G1477" s="34">
        <v>135000</v>
      </c>
      <c r="I1477" s="24">
        <f t="shared" si="66"/>
        <v>135000</v>
      </c>
    </row>
    <row r="1478" spans="4:9" ht="12.75">
      <c r="D1478" s="5" t="s">
        <v>919</v>
      </c>
      <c r="E1478" s="55" t="s">
        <v>200</v>
      </c>
      <c r="F1478" s="55"/>
      <c r="G1478" s="34">
        <v>610000</v>
      </c>
      <c r="I1478" s="24">
        <f t="shared" si="66"/>
        <v>610000</v>
      </c>
    </row>
    <row r="1479" spans="4:9" ht="12.75">
      <c r="D1479" s="5" t="s">
        <v>913</v>
      </c>
      <c r="E1479" s="55" t="s">
        <v>881</v>
      </c>
      <c r="F1479" s="55"/>
      <c r="G1479" s="34">
        <f>1919000+10000000</f>
        <v>11919000</v>
      </c>
      <c r="I1479" s="24">
        <f t="shared" si="66"/>
        <v>11919000</v>
      </c>
    </row>
    <row r="1480" spans="4:9" ht="12.75">
      <c r="D1480" s="5" t="s">
        <v>915</v>
      </c>
      <c r="E1480" s="55" t="s">
        <v>879</v>
      </c>
      <c r="F1480" s="55"/>
      <c r="G1480" s="34">
        <v>2085000</v>
      </c>
      <c r="H1480" s="35">
        <v>1511333</v>
      </c>
      <c r="I1480" s="24">
        <f t="shared" si="66"/>
        <v>3596333</v>
      </c>
    </row>
    <row r="1481" spans="4:9" ht="12.75">
      <c r="D1481" s="5" t="s">
        <v>916</v>
      </c>
      <c r="E1481" s="55" t="s">
        <v>882</v>
      </c>
      <c r="F1481" s="55"/>
      <c r="G1481" s="34">
        <f>27556000-20000000</f>
        <v>7556000</v>
      </c>
      <c r="H1481" s="35">
        <v>14377419.93</v>
      </c>
      <c r="I1481" s="24">
        <f t="shared" si="66"/>
        <v>21933419.93</v>
      </c>
    </row>
    <row r="1482" spans="4:9" ht="12.75">
      <c r="D1482" s="5" t="s">
        <v>923</v>
      </c>
      <c r="E1482" s="55" t="s">
        <v>883</v>
      </c>
      <c r="F1482" s="55"/>
      <c r="G1482" s="34">
        <f>81150000-51150000</f>
        <v>30000000</v>
      </c>
      <c r="H1482" s="35">
        <v>5500000</v>
      </c>
      <c r="I1482" s="24">
        <f t="shared" si="66"/>
        <v>35500000</v>
      </c>
    </row>
    <row r="1483" spans="5:8" ht="27" customHeight="1">
      <c r="E1483" s="55" t="s">
        <v>465</v>
      </c>
      <c r="F1483" s="55"/>
      <c r="G1483" s="34"/>
      <c r="H1483" s="35">
        <v>0</v>
      </c>
    </row>
    <row r="1484" spans="4:9" ht="12.75">
      <c r="D1484" s="5" t="s">
        <v>924</v>
      </c>
      <c r="E1484" s="55" t="s">
        <v>203</v>
      </c>
      <c r="F1484" s="55"/>
      <c r="G1484" s="34">
        <v>610000</v>
      </c>
      <c r="H1484" s="35"/>
      <c r="I1484" s="24">
        <f>G1484+H1484</f>
        <v>610000</v>
      </c>
    </row>
    <row r="1485" spans="4:9" ht="12.75">
      <c r="D1485" s="5" t="s">
        <v>925</v>
      </c>
      <c r="E1485" s="55" t="s">
        <v>884</v>
      </c>
      <c r="F1485" s="55"/>
      <c r="G1485" s="34">
        <v>1525000</v>
      </c>
      <c r="H1485" s="35">
        <v>44150</v>
      </c>
      <c r="I1485" s="24">
        <f>G1485+H1485</f>
        <v>1569150</v>
      </c>
    </row>
    <row r="1486" spans="4:9" ht="12.75">
      <c r="D1486" s="5" t="s">
        <v>749</v>
      </c>
      <c r="E1486" s="55" t="s">
        <v>896</v>
      </c>
      <c r="F1486" s="55"/>
      <c r="G1486" s="41">
        <v>309800000</v>
      </c>
      <c r="H1486" s="42">
        <v>9489000</v>
      </c>
      <c r="I1486" s="7">
        <f>G1486+H1486</f>
        <v>319289000</v>
      </c>
    </row>
    <row r="1487" spans="5:8" ht="40.5" customHeight="1">
      <c r="E1487" s="55" t="s">
        <v>380</v>
      </c>
      <c r="F1487" s="55"/>
      <c r="G1487" s="34"/>
      <c r="H1487" s="35"/>
    </row>
    <row r="1488" spans="4:9" ht="12.75">
      <c r="D1488" s="5" t="s">
        <v>929</v>
      </c>
      <c r="E1488" s="55" t="s">
        <v>208</v>
      </c>
      <c r="F1488" s="55"/>
      <c r="G1488" s="34">
        <v>3158000</v>
      </c>
      <c r="H1488" s="35"/>
      <c r="I1488" s="24">
        <f>G1488+H1488</f>
        <v>3158000</v>
      </c>
    </row>
    <row r="1489" spans="4:9" ht="12.75">
      <c r="D1489" s="5" t="s">
        <v>754</v>
      </c>
      <c r="E1489" s="55" t="s">
        <v>212</v>
      </c>
      <c r="F1489" s="55"/>
      <c r="G1489" s="34">
        <v>112000</v>
      </c>
      <c r="H1489" s="35"/>
      <c r="I1489" s="24">
        <f>G1489+H1489</f>
        <v>112000</v>
      </c>
    </row>
    <row r="1490" spans="4:9" ht="12.75">
      <c r="D1490" s="5" t="s">
        <v>926</v>
      </c>
      <c r="E1490" s="55" t="s">
        <v>885</v>
      </c>
      <c r="F1490" s="55"/>
      <c r="G1490" s="34"/>
      <c r="H1490" s="35">
        <v>248000000</v>
      </c>
      <c r="I1490" s="24">
        <f>G1490+H1490</f>
        <v>248000000</v>
      </c>
    </row>
    <row r="1491" spans="4:9" ht="12.75">
      <c r="D1491" s="5" t="s">
        <v>927</v>
      </c>
      <c r="E1491" s="55" t="s">
        <v>886</v>
      </c>
      <c r="F1491" s="55"/>
      <c r="G1491" s="34">
        <v>16802000</v>
      </c>
      <c r="H1491" s="35">
        <v>3532000</v>
      </c>
      <c r="I1491" s="24">
        <f>G1491+H1491</f>
        <v>20334000</v>
      </c>
    </row>
    <row r="1492" spans="5:8" ht="41.25" customHeight="1">
      <c r="E1492" s="55" t="s">
        <v>381</v>
      </c>
      <c r="F1492" s="55"/>
      <c r="H1492" s="35"/>
    </row>
    <row r="1493" spans="4:9" ht="13.5" thickBot="1">
      <c r="D1493" s="5" t="s">
        <v>940</v>
      </c>
      <c r="E1493" s="55" t="s">
        <v>897</v>
      </c>
      <c r="F1493" s="55"/>
      <c r="H1493" s="35">
        <v>2125000</v>
      </c>
      <c r="I1493" s="24">
        <f>G1493+H1493</f>
        <v>2125000</v>
      </c>
    </row>
    <row r="1494" spans="5:9" ht="12.75">
      <c r="E1494" s="58" t="s">
        <v>32</v>
      </c>
      <c r="F1494" s="58"/>
      <c r="G1494" s="25"/>
      <c r="H1494" s="25"/>
      <c r="I1494" s="25"/>
    </row>
    <row r="1495" spans="4:9" ht="12.75">
      <c r="D1495" s="5" t="s">
        <v>772</v>
      </c>
      <c r="E1495" s="55" t="s">
        <v>773</v>
      </c>
      <c r="F1495" s="55"/>
      <c r="G1495" s="24">
        <f>SUM(G1474:G1494)</f>
        <v>395245000</v>
      </c>
      <c r="I1495" s="24">
        <f aca="true" t="shared" si="67" ref="I1495:I1500">G1495+H1495</f>
        <v>395245000</v>
      </c>
    </row>
    <row r="1496" spans="4:9" ht="12.75">
      <c r="D1496" s="5" t="s">
        <v>778</v>
      </c>
      <c r="E1496" s="55" t="s">
        <v>779</v>
      </c>
      <c r="F1496" s="55"/>
      <c r="H1496" s="24">
        <v>19584886.39</v>
      </c>
      <c r="I1496" s="24">
        <f t="shared" si="67"/>
        <v>19584886.39</v>
      </c>
    </row>
    <row r="1497" spans="4:9" ht="12.75">
      <c r="D1497" s="5" t="s">
        <v>780</v>
      </c>
      <c r="E1497" s="55" t="s">
        <v>781</v>
      </c>
      <c r="F1497" s="55"/>
      <c r="H1497" s="24">
        <v>16900000</v>
      </c>
      <c r="I1497" s="24">
        <f t="shared" si="67"/>
        <v>16900000</v>
      </c>
    </row>
    <row r="1498" spans="4:9" ht="12.75">
      <c r="D1498" s="5" t="s">
        <v>830</v>
      </c>
      <c r="E1498" s="55" t="s">
        <v>906</v>
      </c>
      <c r="F1498" s="55"/>
      <c r="H1498" s="24">
        <v>248000000</v>
      </c>
      <c r="I1498" s="24">
        <f t="shared" si="67"/>
        <v>248000000</v>
      </c>
    </row>
    <row r="1499" spans="4:9" ht="13.5" thickBot="1">
      <c r="D1499" s="5" t="s">
        <v>979</v>
      </c>
      <c r="E1499" s="55" t="s">
        <v>374</v>
      </c>
      <c r="F1499" s="55"/>
      <c r="H1499" s="24">
        <v>94016.5399999998</v>
      </c>
      <c r="I1499" s="24">
        <f t="shared" si="67"/>
        <v>94016.5399999998</v>
      </c>
    </row>
    <row r="1500" spans="5:9" ht="13.5" thickBot="1">
      <c r="E1500" s="56" t="s">
        <v>33</v>
      </c>
      <c r="F1500" s="56"/>
      <c r="G1500" s="26">
        <f>SUM(G1495:G1499)</f>
        <v>395245000</v>
      </c>
      <c r="H1500" s="26">
        <f>SUM(H1495:H1499)</f>
        <v>284578902.93</v>
      </c>
      <c r="I1500" s="26">
        <f t="shared" si="67"/>
        <v>679823902.9300001</v>
      </c>
    </row>
    <row r="1501" spans="5:9" ht="8.25" customHeight="1">
      <c r="E1501" s="12"/>
      <c r="F1501" s="12"/>
      <c r="G1501" s="29"/>
      <c r="H1501" s="29"/>
      <c r="I1501" s="29"/>
    </row>
    <row r="1502" spans="1:9" s="23" customFormat="1" ht="13.5" customHeight="1">
      <c r="A1502" s="8"/>
      <c r="B1502" s="9"/>
      <c r="C1502" s="8">
        <v>490</v>
      </c>
      <c r="D1502" s="9"/>
      <c r="E1502" s="57" t="s">
        <v>836</v>
      </c>
      <c r="F1502" s="57"/>
      <c r="G1502" s="24"/>
      <c r="H1502" s="24"/>
      <c r="I1502" s="24"/>
    </row>
    <row r="1503" spans="4:9" ht="12.75">
      <c r="D1503" s="5" t="s">
        <v>911</v>
      </c>
      <c r="E1503" s="55" t="s">
        <v>199</v>
      </c>
      <c r="F1503" s="55"/>
      <c r="G1503" s="24">
        <v>25624000</v>
      </c>
      <c r="H1503" s="24">
        <v>0</v>
      </c>
      <c r="I1503" s="24">
        <f aca="true" t="shared" si="68" ref="I1503:I1515">G1503+H1503</f>
        <v>25624000</v>
      </c>
    </row>
    <row r="1504" spans="4:9" ht="12.75">
      <c r="D1504" s="5" t="s">
        <v>912</v>
      </c>
      <c r="E1504" s="55" t="s">
        <v>877</v>
      </c>
      <c r="F1504" s="55"/>
      <c r="G1504" s="24">
        <v>5510000</v>
      </c>
      <c r="H1504" s="24">
        <v>0</v>
      </c>
      <c r="I1504" s="24">
        <f t="shared" si="68"/>
        <v>5510000</v>
      </c>
    </row>
    <row r="1505" spans="4:9" ht="12.75">
      <c r="D1505" s="5" t="s">
        <v>921</v>
      </c>
      <c r="E1505" s="55" t="s">
        <v>880</v>
      </c>
      <c r="F1505" s="55"/>
      <c r="G1505" s="24">
        <v>11895000</v>
      </c>
      <c r="H1505" s="24">
        <v>0</v>
      </c>
      <c r="I1505" s="24">
        <f t="shared" si="68"/>
        <v>11895000</v>
      </c>
    </row>
    <row r="1506" spans="4:9" ht="12.75">
      <c r="D1506" s="5" t="s">
        <v>919</v>
      </c>
      <c r="E1506" s="55" t="s">
        <v>200</v>
      </c>
      <c r="F1506" s="55"/>
      <c r="G1506" s="24">
        <v>1374000</v>
      </c>
      <c r="H1506" s="24">
        <v>0</v>
      </c>
      <c r="I1506" s="24">
        <f t="shared" si="68"/>
        <v>1374000</v>
      </c>
    </row>
    <row r="1507" spans="4:9" ht="12.75">
      <c r="D1507" s="5" t="s">
        <v>913</v>
      </c>
      <c r="E1507" s="55" t="s">
        <v>881</v>
      </c>
      <c r="F1507" s="55"/>
      <c r="G1507" s="24">
        <f>58542000-48542000</f>
        <v>10000000</v>
      </c>
      <c r="H1507" s="24">
        <v>0</v>
      </c>
      <c r="I1507" s="24">
        <f t="shared" si="68"/>
        <v>10000000</v>
      </c>
    </row>
    <row r="1508" spans="4:9" ht="12.75">
      <c r="D1508" s="5" t="s">
        <v>915</v>
      </c>
      <c r="E1508" s="55" t="s">
        <v>879</v>
      </c>
      <c r="F1508" s="55"/>
      <c r="G1508" s="24">
        <v>7602000</v>
      </c>
      <c r="I1508" s="24">
        <f t="shared" si="68"/>
        <v>7602000</v>
      </c>
    </row>
    <row r="1509" spans="4:9" ht="12.75">
      <c r="D1509" s="5" t="s">
        <v>916</v>
      </c>
      <c r="E1509" s="55" t="s">
        <v>882</v>
      </c>
      <c r="F1509" s="55"/>
      <c r="G1509" s="24">
        <v>28682000</v>
      </c>
      <c r="H1509" s="24">
        <v>88000000</v>
      </c>
      <c r="I1509" s="24">
        <f t="shared" si="68"/>
        <v>116682000</v>
      </c>
    </row>
    <row r="1510" spans="4:9" ht="12.75">
      <c r="D1510" s="5" t="s">
        <v>924</v>
      </c>
      <c r="E1510" s="55" t="s">
        <v>203</v>
      </c>
      <c r="F1510" s="55"/>
      <c r="G1510" s="24">
        <v>190000</v>
      </c>
      <c r="H1510" s="24">
        <v>0</v>
      </c>
      <c r="I1510" s="24">
        <f t="shared" si="68"/>
        <v>190000</v>
      </c>
    </row>
    <row r="1511" spans="4:9" ht="12.75">
      <c r="D1511" s="5" t="s">
        <v>925</v>
      </c>
      <c r="E1511" s="55" t="s">
        <v>884</v>
      </c>
      <c r="F1511" s="55"/>
      <c r="G1511" s="24">
        <v>2088000</v>
      </c>
      <c r="H1511" s="24">
        <v>0</v>
      </c>
      <c r="I1511" s="24">
        <f t="shared" si="68"/>
        <v>2088000</v>
      </c>
    </row>
    <row r="1512" spans="4:9" ht="12.75">
      <c r="D1512" s="5" t="s">
        <v>749</v>
      </c>
      <c r="E1512" s="55" t="s">
        <v>896</v>
      </c>
      <c r="F1512" s="55"/>
      <c r="G1512" s="7">
        <v>33333000</v>
      </c>
      <c r="H1512" s="7">
        <v>0</v>
      </c>
      <c r="I1512" s="7">
        <f t="shared" si="68"/>
        <v>33333000</v>
      </c>
    </row>
    <row r="1513" spans="4:9" ht="12.75">
      <c r="D1513" s="5" t="s">
        <v>929</v>
      </c>
      <c r="E1513" s="55" t="s">
        <v>208</v>
      </c>
      <c r="F1513" s="55"/>
      <c r="G1513" s="24">
        <v>29000</v>
      </c>
      <c r="H1513" s="24">
        <v>0</v>
      </c>
      <c r="I1513" s="24">
        <f t="shared" si="68"/>
        <v>29000</v>
      </c>
    </row>
    <row r="1514" spans="4:9" ht="12.75">
      <c r="D1514" s="5" t="s">
        <v>754</v>
      </c>
      <c r="E1514" s="55" t="s">
        <v>212</v>
      </c>
      <c r="F1514" s="55"/>
      <c r="G1514" s="24">
        <v>71000</v>
      </c>
      <c r="H1514" s="24">
        <v>0</v>
      </c>
      <c r="I1514" s="24">
        <f t="shared" si="68"/>
        <v>71000</v>
      </c>
    </row>
    <row r="1515" spans="4:9" ht="13.5" thickBot="1">
      <c r="D1515" s="5" t="s">
        <v>927</v>
      </c>
      <c r="E1515" s="55" t="s">
        <v>886</v>
      </c>
      <c r="F1515" s="55"/>
      <c r="G1515" s="24">
        <v>460000</v>
      </c>
      <c r="H1515" s="24">
        <v>0</v>
      </c>
      <c r="I1515" s="24">
        <f t="shared" si="68"/>
        <v>460000</v>
      </c>
    </row>
    <row r="1516" spans="5:9" ht="12.75">
      <c r="E1516" s="58" t="s">
        <v>373</v>
      </c>
      <c r="F1516" s="58"/>
      <c r="G1516" s="25"/>
      <c r="H1516" s="25"/>
      <c r="I1516" s="25"/>
    </row>
    <row r="1517" spans="4:9" ht="12.75">
      <c r="D1517" s="5" t="s">
        <v>772</v>
      </c>
      <c r="E1517" s="55" t="s">
        <v>773</v>
      </c>
      <c r="F1517" s="55"/>
      <c r="G1517" s="24">
        <f>SUM(G1503:G1516)</f>
        <v>126858000</v>
      </c>
      <c r="I1517" s="24">
        <f>G1517+H1517</f>
        <v>126858000</v>
      </c>
    </row>
    <row r="1518" spans="4:9" ht="13.5" thickBot="1">
      <c r="D1518" s="5" t="s">
        <v>825</v>
      </c>
      <c r="E1518" s="55" t="s">
        <v>905</v>
      </c>
      <c r="F1518" s="55"/>
      <c r="H1518" s="24">
        <v>88000000</v>
      </c>
      <c r="I1518" s="24">
        <f>G1518+H1518</f>
        <v>88000000</v>
      </c>
    </row>
    <row r="1519" spans="5:9" ht="13.5" thickBot="1">
      <c r="E1519" s="56" t="s">
        <v>382</v>
      </c>
      <c r="F1519" s="56"/>
      <c r="G1519" s="26">
        <f>SUM(G1517:G1518)</f>
        <v>126858000</v>
      </c>
      <c r="H1519" s="26">
        <f>SUM(H1517:H1518)</f>
        <v>88000000</v>
      </c>
      <c r="I1519" s="26">
        <f>G1519+H1519</f>
        <v>214858000</v>
      </c>
    </row>
    <row r="1520" ht="8.25" customHeight="1"/>
    <row r="1521" spans="1:6" ht="14.25" customHeight="1">
      <c r="A1521" s="8"/>
      <c r="B1521" s="9"/>
      <c r="C1521" s="8">
        <v>473</v>
      </c>
      <c r="D1521" s="9"/>
      <c r="E1521" s="57" t="s">
        <v>752</v>
      </c>
      <c r="F1521" s="57"/>
    </row>
    <row r="1522" spans="4:9" ht="12.75">
      <c r="D1522" s="5" t="s">
        <v>911</v>
      </c>
      <c r="E1522" s="55" t="s">
        <v>199</v>
      </c>
      <c r="F1522" s="55"/>
      <c r="G1522" s="24">
        <f>13500000+1000000</f>
        <v>14500000</v>
      </c>
      <c r="H1522" s="24">
        <v>0</v>
      </c>
      <c r="I1522" s="24">
        <f aca="true" t="shared" si="69" ref="I1522:I1531">G1522+H1522</f>
        <v>14500000</v>
      </c>
    </row>
    <row r="1523" spans="4:9" ht="12.75">
      <c r="D1523" s="5" t="s">
        <v>912</v>
      </c>
      <c r="E1523" s="55" t="s">
        <v>877</v>
      </c>
      <c r="F1523" s="55"/>
      <c r="G1523" s="24">
        <f>2405000+250000</f>
        <v>2655000</v>
      </c>
      <c r="H1523" s="24">
        <v>0</v>
      </c>
      <c r="I1523" s="24">
        <f t="shared" si="69"/>
        <v>2655000</v>
      </c>
    </row>
    <row r="1524" spans="4:9" ht="12.75">
      <c r="D1524" s="5" t="s">
        <v>918</v>
      </c>
      <c r="E1524" s="55" t="s">
        <v>878</v>
      </c>
      <c r="F1524" s="55"/>
      <c r="G1524" s="24">
        <v>30000</v>
      </c>
      <c r="H1524" s="24">
        <v>0</v>
      </c>
      <c r="I1524" s="24">
        <f t="shared" si="69"/>
        <v>30000</v>
      </c>
    </row>
    <row r="1525" spans="4:9" ht="12.75">
      <c r="D1525" s="5" t="s">
        <v>921</v>
      </c>
      <c r="E1525" s="55" t="s">
        <v>880</v>
      </c>
      <c r="F1525" s="55"/>
      <c r="G1525" s="24">
        <v>100000</v>
      </c>
      <c r="H1525" s="24">
        <v>0</v>
      </c>
      <c r="I1525" s="24">
        <f t="shared" si="69"/>
        <v>100000</v>
      </c>
    </row>
    <row r="1526" spans="4:9" ht="12.75">
      <c r="D1526" s="5" t="s">
        <v>913</v>
      </c>
      <c r="E1526" s="55" t="s">
        <v>881</v>
      </c>
      <c r="F1526" s="55"/>
      <c r="G1526" s="24">
        <v>160000</v>
      </c>
      <c r="H1526" s="24">
        <v>0</v>
      </c>
      <c r="I1526" s="24">
        <f t="shared" si="69"/>
        <v>160000</v>
      </c>
    </row>
    <row r="1527" spans="4:9" ht="12.75">
      <c r="D1527" s="5" t="s">
        <v>915</v>
      </c>
      <c r="E1527" s="55" t="s">
        <v>879</v>
      </c>
      <c r="F1527" s="55"/>
      <c r="G1527" s="24">
        <v>100000</v>
      </c>
      <c r="H1527" s="24">
        <v>0</v>
      </c>
      <c r="I1527" s="24">
        <f t="shared" si="69"/>
        <v>100000</v>
      </c>
    </row>
    <row r="1528" spans="4:9" ht="12.75">
      <c r="D1528" s="5" t="s">
        <v>916</v>
      </c>
      <c r="E1528" s="55" t="s">
        <v>882</v>
      </c>
      <c r="F1528" s="55"/>
      <c r="G1528" s="24">
        <v>200000</v>
      </c>
      <c r="I1528" s="24">
        <f t="shared" si="69"/>
        <v>200000</v>
      </c>
    </row>
    <row r="1529" spans="4:9" ht="12.75">
      <c r="D1529" s="5" t="s">
        <v>924</v>
      </c>
      <c r="E1529" s="55" t="s">
        <v>203</v>
      </c>
      <c r="F1529" s="55"/>
      <c r="G1529" s="24">
        <v>100000</v>
      </c>
      <c r="H1529" s="24">
        <v>0</v>
      </c>
      <c r="I1529" s="24">
        <f t="shared" si="69"/>
        <v>100000</v>
      </c>
    </row>
    <row r="1530" spans="4:9" ht="12.75">
      <c r="D1530" s="5" t="s">
        <v>925</v>
      </c>
      <c r="E1530" s="55" t="s">
        <v>884</v>
      </c>
      <c r="F1530" s="55"/>
      <c r="G1530" s="24">
        <v>250000</v>
      </c>
      <c r="H1530" s="24">
        <v>0</v>
      </c>
      <c r="I1530" s="24">
        <f t="shared" si="69"/>
        <v>250000</v>
      </c>
    </row>
    <row r="1531" spans="4:9" ht="12.75">
      <c r="D1531" s="5" t="s">
        <v>749</v>
      </c>
      <c r="E1531" s="55" t="s">
        <v>896</v>
      </c>
      <c r="F1531" s="55"/>
      <c r="G1531" s="7">
        <v>15977000</v>
      </c>
      <c r="H1531" s="7">
        <v>0</v>
      </c>
      <c r="I1531" s="7">
        <f t="shared" si="69"/>
        <v>15977000</v>
      </c>
    </row>
    <row r="1532" spans="5:6" ht="27.75" customHeight="1">
      <c r="E1532" s="55" t="s">
        <v>466</v>
      </c>
      <c r="F1532" s="55"/>
    </row>
    <row r="1533" spans="4:9" ht="12.75">
      <c r="D1533" s="5" t="s">
        <v>754</v>
      </c>
      <c r="E1533" s="55" t="s">
        <v>212</v>
      </c>
      <c r="F1533" s="55"/>
      <c r="G1533" s="24">
        <v>200000</v>
      </c>
      <c r="H1533" s="24">
        <v>0</v>
      </c>
      <c r="I1533" s="24">
        <f>G1533+H1533</f>
        <v>200000</v>
      </c>
    </row>
    <row r="1534" spans="4:9" ht="13.5" thickBot="1">
      <c r="D1534" s="5" t="s">
        <v>927</v>
      </c>
      <c r="E1534" s="55" t="s">
        <v>886</v>
      </c>
      <c r="F1534" s="55"/>
      <c r="G1534" s="24">
        <v>100000</v>
      </c>
      <c r="H1534" s="24">
        <v>0</v>
      </c>
      <c r="I1534" s="24">
        <f>G1534+H1534</f>
        <v>100000</v>
      </c>
    </row>
    <row r="1535" spans="5:9" ht="12.75">
      <c r="E1535" s="58" t="s">
        <v>385</v>
      </c>
      <c r="F1535" s="58"/>
      <c r="G1535" s="25"/>
      <c r="H1535" s="25"/>
      <c r="I1535" s="25"/>
    </row>
    <row r="1536" spans="4:9" ht="12.75">
      <c r="D1536" s="5" t="s">
        <v>772</v>
      </c>
      <c r="E1536" s="55" t="s">
        <v>773</v>
      </c>
      <c r="F1536" s="55"/>
      <c r="G1536" s="24">
        <f>SUM(G1522:G1535)</f>
        <v>34372000</v>
      </c>
      <c r="I1536" s="24">
        <f>G1536+H1536</f>
        <v>34372000</v>
      </c>
    </row>
    <row r="1537" spans="4:9" ht="13.5" thickBot="1">
      <c r="D1537" s="5" t="s">
        <v>979</v>
      </c>
      <c r="E1537" s="55" t="s">
        <v>374</v>
      </c>
      <c r="F1537" s="55"/>
      <c r="H1537" s="24">
        <f>+H1528</f>
        <v>0</v>
      </c>
      <c r="I1537" s="24">
        <f>G1537+H1537</f>
        <v>0</v>
      </c>
    </row>
    <row r="1538" spans="5:9" ht="13.5" thickBot="1">
      <c r="E1538" s="56" t="s">
        <v>386</v>
      </c>
      <c r="F1538" s="56"/>
      <c r="G1538" s="26">
        <f>SUM(G1536:G1537)</f>
        <v>34372000</v>
      </c>
      <c r="H1538" s="26">
        <f>SUM(H1536:H1537)</f>
        <v>0</v>
      </c>
      <c r="I1538" s="26">
        <f>G1538+H1538</f>
        <v>34372000</v>
      </c>
    </row>
    <row r="1539" spans="5:9" ht="9" customHeight="1">
      <c r="E1539" s="12"/>
      <c r="F1539" s="12"/>
      <c r="G1539" s="29"/>
      <c r="H1539" s="29"/>
      <c r="I1539" s="29"/>
    </row>
    <row r="1540" spans="1:6" ht="15" customHeight="1">
      <c r="A1540" s="8"/>
      <c r="B1540" s="9"/>
      <c r="C1540" s="8">
        <v>412</v>
      </c>
      <c r="D1540" s="9"/>
      <c r="E1540" s="57" t="s">
        <v>955</v>
      </c>
      <c r="F1540" s="57"/>
    </row>
    <row r="1541" spans="4:9" ht="12.75">
      <c r="D1541" s="5" t="s">
        <v>911</v>
      </c>
      <c r="E1541" s="55" t="s">
        <v>199</v>
      </c>
      <c r="F1541" s="55"/>
      <c r="G1541" s="24">
        <v>2387000</v>
      </c>
      <c r="I1541" s="24">
        <f aca="true" t="shared" si="70" ref="I1541:I1547">G1541+H1541</f>
        <v>2387000</v>
      </c>
    </row>
    <row r="1542" spans="4:9" ht="12.75">
      <c r="D1542" s="5" t="s">
        <v>912</v>
      </c>
      <c r="E1542" s="55" t="s">
        <v>877</v>
      </c>
      <c r="F1542" s="55"/>
      <c r="G1542" s="24">
        <v>427000</v>
      </c>
      <c r="I1542" s="24">
        <f t="shared" si="70"/>
        <v>427000</v>
      </c>
    </row>
    <row r="1543" spans="4:9" ht="12.75">
      <c r="D1543" s="5" t="s">
        <v>921</v>
      </c>
      <c r="E1543" s="55" t="s">
        <v>880</v>
      </c>
      <c r="F1543" s="55"/>
      <c r="G1543" s="24">
        <v>81000</v>
      </c>
      <c r="I1543" s="24">
        <f t="shared" si="70"/>
        <v>81000</v>
      </c>
    </row>
    <row r="1544" spans="4:9" ht="12.75">
      <c r="D1544" s="5" t="s">
        <v>919</v>
      </c>
      <c r="E1544" s="55" t="s">
        <v>200</v>
      </c>
      <c r="F1544" s="55"/>
      <c r="G1544" s="24">
        <v>35000</v>
      </c>
      <c r="I1544" s="24">
        <f t="shared" si="70"/>
        <v>35000</v>
      </c>
    </row>
    <row r="1545" spans="4:9" ht="12.75">
      <c r="D1545" s="5" t="s">
        <v>913</v>
      </c>
      <c r="E1545" s="55" t="s">
        <v>881</v>
      </c>
      <c r="F1545" s="55"/>
      <c r="G1545" s="24">
        <v>10000</v>
      </c>
      <c r="I1545" s="24">
        <f t="shared" si="70"/>
        <v>10000</v>
      </c>
    </row>
    <row r="1546" spans="4:9" ht="12.75">
      <c r="D1546" s="5" t="s">
        <v>915</v>
      </c>
      <c r="E1546" s="55" t="s">
        <v>879</v>
      </c>
      <c r="F1546" s="55"/>
      <c r="G1546" s="24">
        <v>10000</v>
      </c>
      <c r="I1546" s="24">
        <f t="shared" si="70"/>
        <v>10000</v>
      </c>
    </row>
    <row r="1547" spans="4:9" ht="12.75">
      <c r="D1547" s="5" t="s">
        <v>749</v>
      </c>
      <c r="E1547" s="55" t="s">
        <v>896</v>
      </c>
      <c r="F1547" s="55"/>
      <c r="G1547" s="7">
        <v>106339000</v>
      </c>
      <c r="H1547" s="7"/>
      <c r="I1547" s="7">
        <f t="shared" si="70"/>
        <v>106339000</v>
      </c>
    </row>
    <row r="1548" spans="5:7" ht="41.25" customHeight="1">
      <c r="E1548" s="55" t="s">
        <v>468</v>
      </c>
      <c r="F1548" s="55"/>
      <c r="G1548" s="24">
        <v>0</v>
      </c>
    </row>
    <row r="1549" spans="4:9" ht="12.75">
      <c r="D1549" s="5" t="s">
        <v>931</v>
      </c>
      <c r="E1549" s="55" t="s">
        <v>210</v>
      </c>
      <c r="F1549" s="55"/>
      <c r="G1549" s="24">
        <v>216667000</v>
      </c>
      <c r="I1549" s="24">
        <f>G1549+H1549</f>
        <v>216667000</v>
      </c>
    </row>
    <row r="1550" spans="5:6" ht="54.75" customHeight="1">
      <c r="E1550" s="55" t="s">
        <v>83</v>
      </c>
      <c r="F1550" s="55"/>
    </row>
    <row r="1551" spans="4:9" ht="12.75">
      <c r="D1551" s="5" t="s">
        <v>750</v>
      </c>
      <c r="E1551" s="55" t="s">
        <v>887</v>
      </c>
      <c r="F1551" s="55"/>
      <c r="G1551" s="24">
        <v>1085761000</v>
      </c>
      <c r="I1551" s="24">
        <f>G1551+H1551</f>
        <v>1085761000</v>
      </c>
    </row>
    <row r="1552" spans="5:7" ht="39.75" customHeight="1" thickBot="1">
      <c r="E1552" s="55" t="s">
        <v>84</v>
      </c>
      <c r="F1552" s="55"/>
      <c r="G1552" s="24">
        <v>0</v>
      </c>
    </row>
    <row r="1553" spans="5:9" ht="12.75">
      <c r="E1553" s="58" t="s">
        <v>631</v>
      </c>
      <c r="F1553" s="58"/>
      <c r="G1553" s="25"/>
      <c r="H1553" s="25"/>
      <c r="I1553" s="25"/>
    </row>
    <row r="1554" spans="4:9" ht="12.75">
      <c r="D1554" s="5" t="s">
        <v>772</v>
      </c>
      <c r="E1554" s="55" t="s">
        <v>773</v>
      </c>
      <c r="F1554" s="55"/>
      <c r="G1554" s="24">
        <f>SUM(G1541:G1553)</f>
        <v>1411717000</v>
      </c>
      <c r="I1554" s="24">
        <f aca="true" t="shared" si="71" ref="I1554:I1560">G1554+H1554</f>
        <v>1411717000</v>
      </c>
    </row>
    <row r="1555" spans="4:9" ht="12.75">
      <c r="D1555" s="5" t="s">
        <v>784</v>
      </c>
      <c r="E1555" s="55" t="s">
        <v>785</v>
      </c>
      <c r="F1555" s="55"/>
      <c r="H1555" s="24">
        <v>10398651.7</v>
      </c>
      <c r="I1555" s="24">
        <f t="shared" si="71"/>
        <v>10398651.7</v>
      </c>
    </row>
    <row r="1556" spans="4:9" ht="12.75">
      <c r="D1556" s="5" t="s">
        <v>778</v>
      </c>
      <c r="E1556" s="55" t="s">
        <v>779</v>
      </c>
      <c r="F1556" s="55"/>
      <c r="H1556" s="24">
        <v>12325507.849999998</v>
      </c>
      <c r="I1556" s="24">
        <f t="shared" si="71"/>
        <v>12325507.849999998</v>
      </c>
    </row>
    <row r="1557" spans="4:9" ht="12.75">
      <c r="D1557" s="5" t="s">
        <v>780</v>
      </c>
      <c r="E1557" s="55" t="s">
        <v>781</v>
      </c>
      <c r="F1557" s="55"/>
      <c r="H1557" s="24">
        <v>11256116.59</v>
      </c>
      <c r="I1557" s="24">
        <f t="shared" si="71"/>
        <v>11256116.59</v>
      </c>
    </row>
    <row r="1558" spans="4:9" ht="12.75">
      <c r="D1558" s="5" t="s">
        <v>825</v>
      </c>
      <c r="E1558" s="55" t="s">
        <v>905</v>
      </c>
      <c r="F1558" s="55"/>
      <c r="H1558" s="24">
        <v>1869895.91</v>
      </c>
      <c r="I1558" s="24">
        <f t="shared" si="71"/>
        <v>1869895.91</v>
      </c>
    </row>
    <row r="1559" spans="4:9" ht="13.5" thickBot="1">
      <c r="D1559" s="5" t="s">
        <v>979</v>
      </c>
      <c r="E1559" s="55" t="s">
        <v>374</v>
      </c>
      <c r="F1559" s="55"/>
      <c r="H1559" s="24">
        <v>18883.03999999992</v>
      </c>
      <c r="I1559" s="24">
        <f t="shared" si="71"/>
        <v>18883.03999999992</v>
      </c>
    </row>
    <row r="1560" spans="5:9" ht="13.5" thickBot="1">
      <c r="E1560" s="56" t="s">
        <v>632</v>
      </c>
      <c r="F1560" s="56"/>
      <c r="G1560" s="26">
        <f>SUM(G1554:G1559)</f>
        <v>1411717000</v>
      </c>
      <c r="H1560" s="26">
        <f>SUM(H1554:H1559)</f>
        <v>35869055.089999996</v>
      </c>
      <c r="I1560" s="26">
        <f t="shared" si="71"/>
        <v>1447586055.09</v>
      </c>
    </row>
    <row r="1561" spans="5:9" ht="12.75">
      <c r="E1561" s="58" t="s">
        <v>344</v>
      </c>
      <c r="F1561" s="58"/>
      <c r="G1561" s="25"/>
      <c r="H1561" s="25"/>
      <c r="I1561" s="25"/>
    </row>
    <row r="1562" spans="4:9" ht="12.75">
      <c r="D1562" s="5" t="s">
        <v>772</v>
      </c>
      <c r="E1562" s="55" t="s">
        <v>773</v>
      </c>
      <c r="F1562" s="55"/>
      <c r="G1562" s="24">
        <f>+G1554+G1536+G1517+G1495</f>
        <v>1968192000</v>
      </c>
      <c r="I1562" s="24">
        <f aca="true" t="shared" si="72" ref="I1562:I1569">G1562+H1562</f>
        <v>1968192000</v>
      </c>
    </row>
    <row r="1563" spans="4:9" ht="12.75">
      <c r="D1563" s="5" t="s">
        <v>784</v>
      </c>
      <c r="E1563" s="55" t="s">
        <v>785</v>
      </c>
      <c r="F1563" s="55"/>
      <c r="H1563" s="24">
        <v>10398651.7</v>
      </c>
      <c r="I1563" s="24">
        <f t="shared" si="72"/>
        <v>10398651.7</v>
      </c>
    </row>
    <row r="1564" spans="4:9" ht="12.75">
      <c r="D1564" s="5" t="s">
        <v>778</v>
      </c>
      <c r="E1564" s="55" t="s">
        <v>779</v>
      </c>
      <c r="F1564" s="55"/>
      <c r="H1564" s="24">
        <v>12325507.849999998</v>
      </c>
      <c r="I1564" s="24">
        <f t="shared" si="72"/>
        <v>12325507.849999998</v>
      </c>
    </row>
    <row r="1565" spans="4:9" ht="12.75">
      <c r="D1565" s="5" t="s">
        <v>780</v>
      </c>
      <c r="E1565" s="55" t="s">
        <v>781</v>
      </c>
      <c r="F1565" s="55"/>
      <c r="H1565" s="24">
        <v>11256116.59</v>
      </c>
      <c r="I1565" s="24">
        <f t="shared" si="72"/>
        <v>11256116.59</v>
      </c>
    </row>
    <row r="1566" spans="4:9" ht="12.75">
      <c r="D1566" s="5" t="s">
        <v>825</v>
      </c>
      <c r="E1566" s="55" t="s">
        <v>905</v>
      </c>
      <c r="F1566" s="55"/>
      <c r="H1566" s="24">
        <v>1869895.91</v>
      </c>
      <c r="I1566" s="24">
        <f t="shared" si="72"/>
        <v>1869895.91</v>
      </c>
    </row>
    <row r="1567" spans="4:9" ht="12.75">
      <c r="D1567" s="5" t="s">
        <v>830</v>
      </c>
      <c r="E1567" s="55" t="s">
        <v>906</v>
      </c>
      <c r="F1567" s="55"/>
      <c r="H1567" s="24">
        <v>248000000</v>
      </c>
      <c r="I1567" s="24">
        <f t="shared" si="72"/>
        <v>248000000</v>
      </c>
    </row>
    <row r="1568" spans="4:9" ht="13.5" thickBot="1">
      <c r="D1568" s="5" t="s">
        <v>979</v>
      </c>
      <c r="E1568" s="55" t="s">
        <v>374</v>
      </c>
      <c r="F1568" s="55"/>
      <c r="H1568" s="24">
        <v>18883.03999999992</v>
      </c>
      <c r="I1568" s="24">
        <f t="shared" si="72"/>
        <v>18883.03999999992</v>
      </c>
    </row>
    <row r="1569" spans="5:9" ht="13.5" thickBot="1">
      <c r="E1569" s="56" t="s">
        <v>345</v>
      </c>
      <c r="F1569" s="56"/>
      <c r="G1569" s="26">
        <f>SUM(G1562:G1568)</f>
        <v>1968192000</v>
      </c>
      <c r="H1569" s="26">
        <f>SUM(H1562:H1568)</f>
        <v>283869055.09000003</v>
      </c>
      <c r="I1569" s="26">
        <f t="shared" si="72"/>
        <v>2252061055.09</v>
      </c>
    </row>
    <row r="1570" spans="5:9" ht="7.5" customHeight="1">
      <c r="E1570" s="12"/>
      <c r="F1570" s="12"/>
      <c r="G1570" s="29"/>
      <c r="H1570" s="29"/>
      <c r="I1570" s="29"/>
    </row>
    <row r="1571" spans="1:6" ht="12.75">
      <c r="A1571" s="8" t="s">
        <v>766</v>
      </c>
      <c r="B1571" s="9" t="s">
        <v>528</v>
      </c>
      <c r="C1571" s="8"/>
      <c r="D1571" s="9"/>
      <c r="E1571" s="57" t="s">
        <v>181</v>
      </c>
      <c r="F1571" s="57"/>
    </row>
    <row r="1572" spans="1:6" ht="12.75">
      <c r="A1572" s="8"/>
      <c r="B1572" s="9"/>
      <c r="C1572" s="8" t="s">
        <v>770</v>
      </c>
      <c r="D1572" s="9"/>
      <c r="E1572" s="57" t="s">
        <v>771</v>
      </c>
      <c r="F1572" s="57"/>
    </row>
    <row r="1573" spans="4:9" ht="12.75">
      <c r="D1573" s="5" t="s">
        <v>911</v>
      </c>
      <c r="E1573" s="55" t="s">
        <v>199</v>
      </c>
      <c r="F1573" s="55"/>
      <c r="G1573" s="24">
        <v>14351000</v>
      </c>
      <c r="H1573" s="24">
        <v>0</v>
      </c>
      <c r="I1573" s="24">
        <f aca="true" t="shared" si="73" ref="I1573:I1586">G1573+H1573</f>
        <v>14351000</v>
      </c>
    </row>
    <row r="1574" spans="4:9" ht="12.75">
      <c r="D1574" s="5" t="s">
        <v>912</v>
      </c>
      <c r="E1574" s="55" t="s">
        <v>877</v>
      </c>
      <c r="F1574" s="55"/>
      <c r="G1574" s="24">
        <v>2607000</v>
      </c>
      <c r="H1574" s="24">
        <v>0</v>
      </c>
      <c r="I1574" s="24">
        <f t="shared" si="73"/>
        <v>2607000</v>
      </c>
    </row>
    <row r="1575" spans="4:9" ht="12.75">
      <c r="D1575" s="5" t="s">
        <v>918</v>
      </c>
      <c r="E1575" s="55" t="s">
        <v>878</v>
      </c>
      <c r="F1575" s="55"/>
      <c r="G1575" s="24">
        <v>58000</v>
      </c>
      <c r="H1575" s="24">
        <v>1000000</v>
      </c>
      <c r="I1575" s="24">
        <f t="shared" si="73"/>
        <v>1058000</v>
      </c>
    </row>
    <row r="1576" spans="4:9" ht="12.75">
      <c r="D1576" s="5" t="s">
        <v>921</v>
      </c>
      <c r="E1576" s="55" t="s">
        <v>880</v>
      </c>
      <c r="F1576" s="55"/>
      <c r="G1576" s="24">
        <v>206000</v>
      </c>
      <c r="H1576" s="24">
        <v>32050.98</v>
      </c>
      <c r="I1576" s="24">
        <f t="shared" si="73"/>
        <v>238050.98</v>
      </c>
    </row>
    <row r="1577" spans="4:9" ht="12.75">
      <c r="D1577" s="5" t="s">
        <v>919</v>
      </c>
      <c r="E1577" s="55" t="s">
        <v>200</v>
      </c>
      <c r="F1577" s="55"/>
      <c r="G1577" s="24">
        <v>658000</v>
      </c>
      <c r="H1577" s="24">
        <v>500000</v>
      </c>
      <c r="I1577" s="24">
        <f t="shared" si="73"/>
        <v>1158000</v>
      </c>
    </row>
    <row r="1578" spans="4:9" ht="12.75">
      <c r="D1578" s="5" t="s">
        <v>922</v>
      </c>
      <c r="E1578" s="55" t="s">
        <v>201</v>
      </c>
      <c r="F1578" s="55"/>
      <c r="G1578" s="24">
        <v>0</v>
      </c>
      <c r="H1578" s="24">
        <v>1500000</v>
      </c>
      <c r="I1578" s="24">
        <f t="shared" si="73"/>
        <v>1500000</v>
      </c>
    </row>
    <row r="1579" spans="4:9" ht="12.75">
      <c r="D1579" s="5" t="s">
        <v>913</v>
      </c>
      <c r="E1579" s="55" t="s">
        <v>881</v>
      </c>
      <c r="F1579" s="55"/>
      <c r="G1579" s="24">
        <v>774000</v>
      </c>
      <c r="H1579" s="24">
        <v>1292592.32</v>
      </c>
      <c r="I1579" s="24">
        <f t="shared" si="73"/>
        <v>2066592.32</v>
      </c>
    </row>
    <row r="1580" spans="4:9" ht="12.75">
      <c r="D1580" s="5" t="s">
        <v>915</v>
      </c>
      <c r="E1580" s="55" t="s">
        <v>879</v>
      </c>
      <c r="F1580" s="55"/>
      <c r="G1580" s="24">
        <v>221000</v>
      </c>
      <c r="H1580" s="24">
        <v>18564581.13</v>
      </c>
      <c r="I1580" s="24">
        <f t="shared" si="73"/>
        <v>18785581.13</v>
      </c>
    </row>
    <row r="1581" spans="4:9" ht="12.75">
      <c r="D1581" s="5" t="s">
        <v>916</v>
      </c>
      <c r="E1581" s="55" t="s">
        <v>882</v>
      </c>
      <c r="F1581" s="55"/>
      <c r="G1581" s="24">
        <v>97000</v>
      </c>
      <c r="H1581" s="24">
        <v>4794701.77</v>
      </c>
      <c r="I1581" s="24">
        <f t="shared" si="73"/>
        <v>4891701.77</v>
      </c>
    </row>
    <row r="1582" spans="4:9" ht="12.75">
      <c r="D1582" s="5" t="s">
        <v>923</v>
      </c>
      <c r="E1582" s="55" t="s">
        <v>883</v>
      </c>
      <c r="F1582" s="55"/>
      <c r="G1582" s="24">
        <v>107000</v>
      </c>
      <c r="H1582" s="24">
        <v>0</v>
      </c>
      <c r="I1582" s="24">
        <f t="shared" si="73"/>
        <v>107000</v>
      </c>
    </row>
    <row r="1583" spans="4:9" ht="12.75">
      <c r="D1583" s="5" t="s">
        <v>924</v>
      </c>
      <c r="E1583" s="55" t="s">
        <v>203</v>
      </c>
      <c r="F1583" s="55"/>
      <c r="G1583" s="24">
        <v>150000</v>
      </c>
      <c r="H1583" s="24">
        <v>849112.37</v>
      </c>
      <c r="I1583" s="24">
        <f t="shared" si="73"/>
        <v>999112.37</v>
      </c>
    </row>
    <row r="1584" spans="4:9" ht="12.75">
      <c r="D1584" s="5" t="s">
        <v>925</v>
      </c>
      <c r="E1584" s="55" t="s">
        <v>884</v>
      </c>
      <c r="F1584" s="55"/>
      <c r="G1584" s="24">
        <v>644000</v>
      </c>
      <c r="H1584" s="24">
        <v>1005250</v>
      </c>
      <c r="I1584" s="24">
        <f t="shared" si="73"/>
        <v>1649250</v>
      </c>
    </row>
    <row r="1585" spans="4:9" ht="12.75">
      <c r="D1585" s="5" t="s">
        <v>754</v>
      </c>
      <c r="E1585" s="55" t="s">
        <v>212</v>
      </c>
      <c r="F1585" s="55"/>
      <c r="G1585" s="24">
        <v>128000</v>
      </c>
      <c r="H1585" s="24">
        <v>0</v>
      </c>
      <c r="I1585" s="24">
        <f t="shared" si="73"/>
        <v>128000</v>
      </c>
    </row>
    <row r="1586" spans="4:9" ht="13.5" thickBot="1">
      <c r="D1586" s="5" t="s">
        <v>927</v>
      </c>
      <c r="E1586" s="55" t="s">
        <v>886</v>
      </c>
      <c r="F1586" s="55"/>
      <c r="G1586" s="24">
        <v>687000</v>
      </c>
      <c r="H1586" s="24">
        <v>2500000</v>
      </c>
      <c r="I1586" s="24">
        <f t="shared" si="73"/>
        <v>3187000</v>
      </c>
    </row>
    <row r="1587" spans="5:9" ht="12.75">
      <c r="E1587" s="58" t="s">
        <v>346</v>
      </c>
      <c r="F1587" s="58"/>
      <c r="G1587" s="25"/>
      <c r="H1587" s="25"/>
      <c r="I1587" s="25"/>
    </row>
    <row r="1588" spans="4:9" ht="12.75">
      <c r="D1588" s="5" t="s">
        <v>772</v>
      </c>
      <c r="E1588" s="55" t="s">
        <v>773</v>
      </c>
      <c r="F1588" s="55"/>
      <c r="G1588" s="24">
        <f>SUM(G1573:G1587)</f>
        <v>20688000</v>
      </c>
      <c r="I1588" s="24">
        <f>G1588+H1588</f>
        <v>20688000</v>
      </c>
    </row>
    <row r="1589" spans="4:9" ht="13.5" thickBot="1">
      <c r="D1589" s="5" t="s">
        <v>784</v>
      </c>
      <c r="E1589" s="55" t="s">
        <v>785</v>
      </c>
      <c r="F1589" s="55"/>
      <c r="H1589" s="24">
        <f>SUM(H1573:H1588)</f>
        <v>32038288.57</v>
      </c>
      <c r="I1589" s="24">
        <f>G1589+H1589</f>
        <v>32038288.57</v>
      </c>
    </row>
    <row r="1590" spans="5:9" ht="13.5" thickBot="1">
      <c r="E1590" s="56" t="s">
        <v>347</v>
      </c>
      <c r="F1590" s="56"/>
      <c r="G1590" s="26">
        <f>SUM(G1588:G1589)</f>
        <v>20688000</v>
      </c>
      <c r="H1590" s="26">
        <f>SUM(H1588:H1589)</f>
        <v>32038288.57</v>
      </c>
      <c r="I1590" s="26">
        <f>G1590+H1590</f>
        <v>52726288.57</v>
      </c>
    </row>
    <row r="1591" spans="5:9" ht="12.75">
      <c r="E1591" s="58" t="s">
        <v>529</v>
      </c>
      <c r="F1591" s="58"/>
      <c r="G1591" s="25"/>
      <c r="H1591" s="25"/>
      <c r="I1591" s="25"/>
    </row>
    <row r="1592" spans="4:9" ht="12.75">
      <c r="D1592" s="5" t="s">
        <v>772</v>
      </c>
      <c r="E1592" s="55" t="s">
        <v>773</v>
      </c>
      <c r="F1592" s="55"/>
      <c r="G1592" s="24">
        <f>+G1588</f>
        <v>20688000</v>
      </c>
      <c r="H1592" s="24">
        <v>0</v>
      </c>
      <c r="I1592" s="24">
        <f>G1592+H1592</f>
        <v>20688000</v>
      </c>
    </row>
    <row r="1593" spans="4:9" ht="13.5" thickBot="1">
      <c r="D1593" s="5" t="s">
        <v>784</v>
      </c>
      <c r="E1593" s="55" t="s">
        <v>785</v>
      </c>
      <c r="F1593" s="55"/>
      <c r="G1593" s="24">
        <v>0</v>
      </c>
      <c r="H1593" s="24">
        <f>+H1589</f>
        <v>32038288.57</v>
      </c>
      <c r="I1593" s="24">
        <f>G1593+H1593</f>
        <v>32038288.57</v>
      </c>
    </row>
    <row r="1594" spans="5:9" ht="13.5" thickBot="1">
      <c r="E1594" s="56" t="s">
        <v>530</v>
      </c>
      <c r="F1594" s="56"/>
      <c r="G1594" s="26">
        <f>SUM(G1592:G1593)</f>
        <v>20688000</v>
      </c>
      <c r="H1594" s="26">
        <f>SUM(H1592:H1593)</f>
        <v>32038288.57</v>
      </c>
      <c r="I1594" s="26">
        <f>G1594+H1594</f>
        <v>52726288.57</v>
      </c>
    </row>
    <row r="1595" spans="5:9" ht="12.75">
      <c r="E1595" s="12"/>
      <c r="F1595" s="12"/>
      <c r="G1595" s="29"/>
      <c r="H1595" s="29"/>
      <c r="I1595" s="29"/>
    </row>
    <row r="1596" spans="1:6" ht="12.75">
      <c r="A1596" s="8" t="s">
        <v>766</v>
      </c>
      <c r="B1596" s="9" t="s">
        <v>531</v>
      </c>
      <c r="C1596" s="8"/>
      <c r="D1596" s="9"/>
      <c r="E1596" s="57" t="s">
        <v>261</v>
      </c>
      <c r="F1596" s="57"/>
    </row>
    <row r="1597" spans="1:6" ht="12.75">
      <c r="A1597" s="8"/>
      <c r="B1597" s="9"/>
      <c r="C1597" s="8" t="s">
        <v>751</v>
      </c>
      <c r="D1597" s="9"/>
      <c r="E1597" s="57" t="s">
        <v>752</v>
      </c>
      <c r="F1597" s="57"/>
    </row>
    <row r="1598" spans="4:9" ht="13.5" thickBot="1">
      <c r="D1598" s="5" t="s">
        <v>923</v>
      </c>
      <c r="E1598" s="55" t="s">
        <v>883</v>
      </c>
      <c r="F1598" s="55"/>
      <c r="G1598" s="24">
        <v>500000</v>
      </c>
      <c r="H1598" s="24">
        <v>0</v>
      </c>
      <c r="I1598" s="24">
        <f>G1598+H1598</f>
        <v>500000</v>
      </c>
    </row>
    <row r="1599" spans="5:9" ht="12.75">
      <c r="E1599" s="58" t="s">
        <v>385</v>
      </c>
      <c r="F1599" s="58"/>
      <c r="G1599" s="25"/>
      <c r="H1599" s="25"/>
      <c r="I1599" s="25"/>
    </row>
    <row r="1600" spans="4:9" ht="13.5" thickBot="1">
      <c r="D1600" s="5" t="s">
        <v>772</v>
      </c>
      <c r="E1600" s="55" t="s">
        <v>773</v>
      </c>
      <c r="F1600" s="55"/>
      <c r="G1600" s="24">
        <f>+G1598</f>
        <v>500000</v>
      </c>
      <c r="I1600" s="24">
        <f>G1600+H1600</f>
        <v>500000</v>
      </c>
    </row>
    <row r="1601" spans="5:9" ht="13.5" thickBot="1">
      <c r="E1601" s="56" t="s">
        <v>386</v>
      </c>
      <c r="F1601" s="56"/>
      <c r="G1601" s="26">
        <f>SUM(G1600:G1600)</f>
        <v>500000</v>
      </c>
      <c r="H1601" s="26">
        <f>SUM(H1600:H1600)</f>
        <v>0</v>
      </c>
      <c r="I1601" s="26">
        <f>G1601+H1601</f>
        <v>500000</v>
      </c>
    </row>
    <row r="1602" spans="5:9" ht="12.75">
      <c r="E1602" s="58" t="s">
        <v>532</v>
      </c>
      <c r="F1602" s="58"/>
      <c r="G1602" s="25"/>
      <c r="H1602" s="25"/>
      <c r="I1602" s="25"/>
    </row>
    <row r="1603" spans="4:9" ht="13.5" thickBot="1">
      <c r="D1603" s="5" t="s">
        <v>772</v>
      </c>
      <c r="E1603" s="55" t="s">
        <v>773</v>
      </c>
      <c r="F1603" s="55"/>
      <c r="G1603" s="24">
        <f>+G1600</f>
        <v>500000</v>
      </c>
      <c r="H1603" s="24">
        <v>0</v>
      </c>
      <c r="I1603" s="24">
        <f>G1603+H1603</f>
        <v>500000</v>
      </c>
    </row>
    <row r="1604" spans="5:9" ht="13.5" thickBot="1">
      <c r="E1604" s="56" t="s">
        <v>533</v>
      </c>
      <c r="F1604" s="56"/>
      <c r="G1604" s="26">
        <f>SUM(G1603:G1603)</f>
        <v>500000</v>
      </c>
      <c r="H1604" s="26">
        <f>SUM(H1603:H1603)</f>
        <v>0</v>
      </c>
      <c r="I1604" s="26">
        <f>G1604+H1604</f>
        <v>500000</v>
      </c>
    </row>
    <row r="1605" spans="5:9" ht="12.75">
      <c r="E1605" s="58" t="s">
        <v>47</v>
      </c>
      <c r="F1605" s="58"/>
      <c r="G1605" s="25"/>
      <c r="H1605" s="25"/>
      <c r="I1605" s="25"/>
    </row>
    <row r="1606" spans="4:9" ht="12.75">
      <c r="D1606" s="5" t="s">
        <v>772</v>
      </c>
      <c r="E1606" s="55" t="s">
        <v>773</v>
      </c>
      <c r="F1606" s="55"/>
      <c r="G1606" s="24">
        <f>+G1603+G1592+G1562</f>
        <v>1989380000</v>
      </c>
      <c r="I1606" s="24">
        <f aca="true" t="shared" si="74" ref="I1606:I1611">G1606+H1606</f>
        <v>1989380000</v>
      </c>
    </row>
    <row r="1607" spans="4:9" ht="12.75">
      <c r="D1607" s="5" t="s">
        <v>778</v>
      </c>
      <c r="E1607" s="55" t="s">
        <v>779</v>
      </c>
      <c r="F1607" s="55"/>
      <c r="I1607" s="24">
        <f t="shared" si="74"/>
        <v>0</v>
      </c>
    </row>
    <row r="1608" spans="4:9" ht="12.75">
      <c r="D1608" s="5" t="s">
        <v>780</v>
      </c>
      <c r="E1608" s="55" t="s">
        <v>781</v>
      </c>
      <c r="F1608" s="55"/>
      <c r="I1608" s="24">
        <f t="shared" si="74"/>
        <v>0</v>
      </c>
    </row>
    <row r="1609" spans="4:9" ht="12.75">
      <c r="D1609" s="5" t="s">
        <v>830</v>
      </c>
      <c r="E1609" s="55" t="s">
        <v>906</v>
      </c>
      <c r="F1609" s="55"/>
      <c r="I1609" s="24">
        <f t="shared" si="74"/>
        <v>0</v>
      </c>
    </row>
    <row r="1610" spans="4:9" ht="13.5" thickBot="1">
      <c r="D1610" s="5" t="s">
        <v>979</v>
      </c>
      <c r="E1610" s="55" t="s">
        <v>374</v>
      </c>
      <c r="F1610" s="55"/>
      <c r="I1610" s="24">
        <f t="shared" si="74"/>
        <v>0</v>
      </c>
    </row>
    <row r="1611" spans="5:9" ht="13.5" thickBot="1">
      <c r="E1611" s="56" t="s">
        <v>48</v>
      </c>
      <c r="F1611" s="56"/>
      <c r="G1611" s="26">
        <f>SUM(G1606:G1610)</f>
        <v>1989380000</v>
      </c>
      <c r="H1611" s="26">
        <f>SUM(H1606:H1610)</f>
        <v>0</v>
      </c>
      <c r="I1611" s="26">
        <f t="shared" si="74"/>
        <v>1989380000</v>
      </c>
    </row>
    <row r="1612" spans="5:9" ht="12.75">
      <c r="E1612" s="12"/>
      <c r="F1612" s="12"/>
      <c r="G1612" s="29"/>
      <c r="H1612" s="29"/>
      <c r="I1612" s="29"/>
    </row>
    <row r="1613" spans="1:6" ht="12.75">
      <c r="A1613" s="8">
        <v>17</v>
      </c>
      <c r="B1613" s="9" t="s">
        <v>766</v>
      </c>
      <c r="C1613" s="8"/>
      <c r="D1613" s="9"/>
      <c r="E1613" s="57" t="s">
        <v>981</v>
      </c>
      <c r="F1613" s="57"/>
    </row>
    <row r="1614" spans="1:6" ht="12.75">
      <c r="A1614" s="8"/>
      <c r="B1614" s="9"/>
      <c r="C1614" s="8" t="s">
        <v>826</v>
      </c>
      <c r="D1614" s="9"/>
      <c r="E1614" s="57" t="s">
        <v>827</v>
      </c>
      <c r="F1614" s="57"/>
    </row>
    <row r="1615" spans="4:9" ht="12.75">
      <c r="D1615" s="5" t="s">
        <v>911</v>
      </c>
      <c r="E1615" s="55" t="s">
        <v>199</v>
      </c>
      <c r="F1615" s="55"/>
      <c r="G1615" s="24">
        <v>21781000</v>
      </c>
      <c r="H1615" s="24">
        <v>0</v>
      </c>
      <c r="I1615" s="24">
        <f aca="true" t="shared" si="75" ref="I1615:I1628">G1615+H1615</f>
        <v>21781000</v>
      </c>
    </row>
    <row r="1616" spans="4:9" ht="12.75">
      <c r="D1616" s="5" t="s">
        <v>912</v>
      </c>
      <c r="E1616" s="55" t="s">
        <v>877</v>
      </c>
      <c r="F1616" s="55"/>
      <c r="G1616" s="24">
        <v>3929000</v>
      </c>
      <c r="H1616" s="24">
        <v>0</v>
      </c>
      <c r="I1616" s="24">
        <f t="shared" si="75"/>
        <v>3929000</v>
      </c>
    </row>
    <row r="1617" spans="4:9" ht="12.75">
      <c r="D1617" s="5" t="s">
        <v>918</v>
      </c>
      <c r="E1617" s="55" t="s">
        <v>878</v>
      </c>
      <c r="F1617" s="55"/>
      <c r="G1617" s="24">
        <v>25000</v>
      </c>
      <c r="H1617" s="24">
        <v>0</v>
      </c>
      <c r="I1617" s="24">
        <f t="shared" si="75"/>
        <v>25000</v>
      </c>
    </row>
    <row r="1618" spans="4:9" ht="12.75">
      <c r="D1618" s="5" t="s">
        <v>921</v>
      </c>
      <c r="E1618" s="55" t="s">
        <v>880</v>
      </c>
      <c r="F1618" s="55"/>
      <c r="G1618" s="24">
        <v>720000</v>
      </c>
      <c r="H1618" s="24">
        <v>0</v>
      </c>
      <c r="I1618" s="24">
        <f t="shared" si="75"/>
        <v>720000</v>
      </c>
    </row>
    <row r="1619" spans="4:9" ht="12.75">
      <c r="D1619" s="5" t="s">
        <v>919</v>
      </c>
      <c r="E1619" s="55" t="s">
        <v>200</v>
      </c>
      <c r="F1619" s="55"/>
      <c r="G1619" s="24">
        <v>862000</v>
      </c>
      <c r="H1619" s="24">
        <v>0</v>
      </c>
      <c r="I1619" s="24">
        <f t="shared" si="75"/>
        <v>862000</v>
      </c>
    </row>
    <row r="1620" spans="4:9" ht="12.75">
      <c r="D1620" s="5" t="s">
        <v>913</v>
      </c>
      <c r="E1620" s="55" t="s">
        <v>881</v>
      </c>
      <c r="F1620" s="55"/>
      <c r="G1620" s="24">
        <v>1900000</v>
      </c>
      <c r="H1620" s="24">
        <v>0</v>
      </c>
      <c r="I1620" s="24">
        <f t="shared" si="75"/>
        <v>1900000</v>
      </c>
    </row>
    <row r="1621" spans="4:9" ht="12.75">
      <c r="D1621" s="5" t="s">
        <v>915</v>
      </c>
      <c r="E1621" s="55" t="s">
        <v>879</v>
      </c>
      <c r="F1621" s="55"/>
      <c r="G1621" s="24">
        <v>800000</v>
      </c>
      <c r="H1621" s="24">
        <v>1352000</v>
      </c>
      <c r="I1621" s="24">
        <f t="shared" si="75"/>
        <v>2152000</v>
      </c>
    </row>
    <row r="1622" spans="4:9" ht="12.75">
      <c r="D1622" s="5" t="s">
        <v>916</v>
      </c>
      <c r="E1622" s="55" t="s">
        <v>882</v>
      </c>
      <c r="F1622" s="55"/>
      <c r="G1622" s="24">
        <v>4989000</v>
      </c>
      <c r="H1622" s="24">
        <v>31852000</v>
      </c>
      <c r="I1622" s="24">
        <f t="shared" si="75"/>
        <v>36841000</v>
      </c>
    </row>
    <row r="1623" spans="4:9" ht="12.75">
      <c r="D1623" s="5" t="s">
        <v>923</v>
      </c>
      <c r="E1623" s="55" t="s">
        <v>883</v>
      </c>
      <c r="F1623" s="55"/>
      <c r="G1623" s="24">
        <v>7980000</v>
      </c>
      <c r="H1623" s="24">
        <v>4435000</v>
      </c>
      <c r="I1623" s="24">
        <f t="shared" si="75"/>
        <v>12415000</v>
      </c>
    </row>
    <row r="1624" spans="4:9" ht="12.75">
      <c r="D1624" s="5" t="s">
        <v>924</v>
      </c>
      <c r="E1624" s="55" t="s">
        <v>203</v>
      </c>
      <c r="F1624" s="55"/>
      <c r="G1624" s="24">
        <v>125000</v>
      </c>
      <c r="H1624" s="24">
        <v>0</v>
      </c>
      <c r="I1624" s="24">
        <f t="shared" si="75"/>
        <v>125000</v>
      </c>
    </row>
    <row r="1625" spans="4:9" ht="12.75">
      <c r="D1625" s="5" t="s">
        <v>925</v>
      </c>
      <c r="E1625" s="55" t="s">
        <v>884</v>
      </c>
      <c r="F1625" s="55"/>
      <c r="G1625" s="24">
        <v>780000</v>
      </c>
      <c r="H1625" s="24">
        <v>0</v>
      </c>
      <c r="I1625" s="24">
        <f t="shared" si="75"/>
        <v>780000</v>
      </c>
    </row>
    <row r="1626" spans="4:9" ht="12.75">
      <c r="D1626" s="5" t="s">
        <v>930</v>
      </c>
      <c r="E1626" s="55" t="s">
        <v>209</v>
      </c>
      <c r="F1626" s="55"/>
      <c r="G1626" s="24">
        <v>0</v>
      </c>
      <c r="H1626" s="24">
        <v>1950000</v>
      </c>
      <c r="I1626" s="24">
        <f t="shared" si="75"/>
        <v>1950000</v>
      </c>
    </row>
    <row r="1627" spans="4:9" ht="12.75">
      <c r="D1627" s="5" t="s">
        <v>754</v>
      </c>
      <c r="E1627" s="55" t="s">
        <v>212</v>
      </c>
      <c r="F1627" s="55"/>
      <c r="G1627" s="24">
        <v>30000</v>
      </c>
      <c r="H1627" s="24">
        <v>0</v>
      </c>
      <c r="I1627" s="24">
        <f t="shared" si="75"/>
        <v>30000</v>
      </c>
    </row>
    <row r="1628" spans="4:9" ht="13.5" thickBot="1">
      <c r="D1628" s="5" t="s">
        <v>927</v>
      </c>
      <c r="E1628" s="55" t="s">
        <v>886</v>
      </c>
      <c r="F1628" s="55"/>
      <c r="G1628" s="24">
        <v>595000</v>
      </c>
      <c r="H1628" s="24">
        <v>1360000</v>
      </c>
      <c r="I1628" s="24">
        <f t="shared" si="75"/>
        <v>1955000</v>
      </c>
    </row>
    <row r="1629" spans="5:9" ht="12.75">
      <c r="E1629" s="58" t="s">
        <v>283</v>
      </c>
      <c r="F1629" s="58"/>
      <c r="G1629" s="25"/>
      <c r="H1629" s="25"/>
      <c r="I1629" s="25"/>
    </row>
    <row r="1630" spans="4:9" ht="12.75">
      <c r="D1630" s="5" t="s">
        <v>772</v>
      </c>
      <c r="E1630" s="55" t="s">
        <v>773</v>
      </c>
      <c r="F1630" s="55"/>
      <c r="G1630" s="24">
        <f>SUM(G1615:G1629)</f>
        <v>44516000</v>
      </c>
      <c r="I1630" s="24">
        <f>G1630+H1630</f>
        <v>44516000</v>
      </c>
    </row>
    <row r="1631" spans="4:9" ht="12.75">
      <c r="D1631" s="5" t="s">
        <v>784</v>
      </c>
      <c r="E1631" s="55" t="s">
        <v>785</v>
      </c>
      <c r="F1631" s="55"/>
      <c r="H1631" s="24">
        <v>1950000</v>
      </c>
      <c r="I1631" s="24">
        <f>G1631+H1631</f>
        <v>1950000</v>
      </c>
    </row>
    <row r="1632" spans="4:9" ht="13.5" thickBot="1">
      <c r="D1632" s="5" t="s">
        <v>778</v>
      </c>
      <c r="E1632" s="55" t="s">
        <v>779</v>
      </c>
      <c r="F1632" s="55"/>
      <c r="H1632" s="24">
        <v>38999000</v>
      </c>
      <c r="I1632" s="24">
        <f>G1632+H1632</f>
        <v>38999000</v>
      </c>
    </row>
    <row r="1633" spans="5:9" ht="13.5" thickBot="1">
      <c r="E1633" s="56" t="s">
        <v>44</v>
      </c>
      <c r="F1633" s="56"/>
      <c r="G1633" s="26">
        <f>SUM(G1630:G1632)</f>
        <v>44516000</v>
      </c>
      <c r="H1633" s="26">
        <f>SUM(H1630:H1632)</f>
        <v>40949000</v>
      </c>
      <c r="I1633" s="26">
        <f>G1633+H1633</f>
        <v>85465000</v>
      </c>
    </row>
    <row r="1635" spans="1:6" ht="12.75">
      <c r="A1635" s="8"/>
      <c r="B1635" s="9"/>
      <c r="C1635" s="8" t="s">
        <v>828</v>
      </c>
      <c r="D1635" s="9"/>
      <c r="E1635" s="57" t="s">
        <v>829</v>
      </c>
      <c r="F1635" s="57"/>
    </row>
    <row r="1636" spans="4:9" ht="12.75">
      <c r="D1636" s="5" t="s">
        <v>911</v>
      </c>
      <c r="E1636" s="55" t="s">
        <v>199</v>
      </c>
      <c r="F1636" s="55"/>
      <c r="G1636" s="24">
        <v>8845000</v>
      </c>
      <c r="H1636" s="24">
        <v>0</v>
      </c>
      <c r="I1636" s="24">
        <f aca="true" t="shared" si="76" ref="I1636:I1647">G1636+H1636</f>
        <v>8845000</v>
      </c>
    </row>
    <row r="1637" spans="4:9" ht="12.75">
      <c r="D1637" s="5" t="s">
        <v>912</v>
      </c>
      <c r="E1637" s="55" t="s">
        <v>877</v>
      </c>
      <c r="F1637" s="55"/>
      <c r="G1637" s="24">
        <v>1587000</v>
      </c>
      <c r="H1637" s="24">
        <v>0</v>
      </c>
      <c r="I1637" s="24">
        <f t="shared" si="76"/>
        <v>1587000</v>
      </c>
    </row>
    <row r="1638" spans="4:9" ht="12.75">
      <c r="D1638" s="5" t="s">
        <v>918</v>
      </c>
      <c r="E1638" s="55" t="s">
        <v>878</v>
      </c>
      <c r="F1638" s="55"/>
      <c r="G1638" s="24">
        <v>19000</v>
      </c>
      <c r="H1638" s="24">
        <v>0</v>
      </c>
      <c r="I1638" s="24">
        <f t="shared" si="76"/>
        <v>19000</v>
      </c>
    </row>
    <row r="1639" spans="4:9" ht="12.75">
      <c r="D1639" s="5" t="s">
        <v>921</v>
      </c>
      <c r="E1639" s="55" t="s">
        <v>880</v>
      </c>
      <c r="F1639" s="55"/>
      <c r="G1639" s="24">
        <v>50000</v>
      </c>
      <c r="H1639" s="24">
        <v>0</v>
      </c>
      <c r="I1639" s="24">
        <f t="shared" si="76"/>
        <v>50000</v>
      </c>
    </row>
    <row r="1640" spans="4:9" ht="12.75">
      <c r="D1640" s="5" t="s">
        <v>919</v>
      </c>
      <c r="E1640" s="55" t="s">
        <v>200</v>
      </c>
      <c r="F1640" s="55"/>
      <c r="G1640" s="24">
        <v>107000</v>
      </c>
      <c r="H1640" s="24">
        <v>0</v>
      </c>
      <c r="I1640" s="24">
        <f t="shared" si="76"/>
        <v>107000</v>
      </c>
    </row>
    <row r="1641" spans="4:9" ht="12.75">
      <c r="D1641" s="5" t="s">
        <v>913</v>
      </c>
      <c r="E1641" s="55" t="s">
        <v>881</v>
      </c>
      <c r="F1641" s="55"/>
      <c r="G1641" s="24">
        <v>642000</v>
      </c>
      <c r="H1641" s="24">
        <v>0</v>
      </c>
      <c r="I1641" s="24">
        <f t="shared" si="76"/>
        <v>642000</v>
      </c>
    </row>
    <row r="1642" spans="4:9" ht="12.75">
      <c r="D1642" s="5" t="s">
        <v>915</v>
      </c>
      <c r="E1642" s="55" t="s">
        <v>879</v>
      </c>
      <c r="F1642" s="55"/>
      <c r="G1642" s="24">
        <v>330000</v>
      </c>
      <c r="H1642" s="24">
        <v>0</v>
      </c>
      <c r="I1642" s="24">
        <f t="shared" si="76"/>
        <v>330000</v>
      </c>
    </row>
    <row r="1643" spans="4:9" ht="12.75">
      <c r="D1643" s="5" t="s">
        <v>916</v>
      </c>
      <c r="E1643" s="55" t="s">
        <v>882</v>
      </c>
      <c r="F1643" s="55"/>
      <c r="G1643" s="24">
        <v>265000</v>
      </c>
      <c r="H1643" s="24">
        <v>4805000</v>
      </c>
      <c r="I1643" s="24">
        <f t="shared" si="76"/>
        <v>5070000</v>
      </c>
    </row>
    <row r="1644" spans="4:9" ht="12.75">
      <c r="D1644" s="5" t="s">
        <v>923</v>
      </c>
      <c r="E1644" s="55" t="s">
        <v>883</v>
      </c>
      <c r="F1644" s="55"/>
      <c r="G1644" s="24">
        <v>1800000</v>
      </c>
      <c r="H1644" s="24">
        <v>3000000</v>
      </c>
      <c r="I1644" s="24">
        <f t="shared" si="76"/>
        <v>4800000</v>
      </c>
    </row>
    <row r="1645" spans="4:9" ht="12.75">
      <c r="D1645" s="5" t="s">
        <v>924</v>
      </c>
      <c r="E1645" s="55" t="s">
        <v>203</v>
      </c>
      <c r="F1645" s="55"/>
      <c r="G1645" s="24">
        <v>30000</v>
      </c>
      <c r="H1645" s="24">
        <v>0</v>
      </c>
      <c r="I1645" s="24">
        <f t="shared" si="76"/>
        <v>30000</v>
      </c>
    </row>
    <row r="1646" spans="4:9" ht="12.75">
      <c r="D1646" s="5" t="s">
        <v>925</v>
      </c>
      <c r="E1646" s="55" t="s">
        <v>884</v>
      </c>
      <c r="F1646" s="55"/>
      <c r="G1646" s="24">
        <v>160000</v>
      </c>
      <c r="H1646" s="24">
        <v>2901000</v>
      </c>
      <c r="I1646" s="24">
        <f t="shared" si="76"/>
        <v>3061000</v>
      </c>
    </row>
    <row r="1647" spans="4:9" ht="12.75">
      <c r="D1647" s="5" t="s">
        <v>749</v>
      </c>
      <c r="E1647" s="55" t="s">
        <v>896</v>
      </c>
      <c r="F1647" s="55"/>
      <c r="G1647" s="7">
        <f>530000000+130000000</f>
        <v>660000000</v>
      </c>
      <c r="H1647" s="7">
        <v>0</v>
      </c>
      <c r="I1647" s="7">
        <f t="shared" si="76"/>
        <v>660000000</v>
      </c>
    </row>
    <row r="1648" spans="5:6" ht="39.75" customHeight="1">
      <c r="E1648" s="55" t="s">
        <v>82</v>
      </c>
      <c r="F1648" s="55"/>
    </row>
    <row r="1649" spans="4:9" ht="12.75">
      <c r="D1649" s="5" t="s">
        <v>754</v>
      </c>
      <c r="E1649" s="55" t="s">
        <v>212</v>
      </c>
      <c r="F1649" s="55"/>
      <c r="G1649" s="24">
        <v>45000</v>
      </c>
      <c r="H1649" s="24">
        <v>0</v>
      </c>
      <c r="I1649" s="24">
        <f>G1649+H1649</f>
        <v>45000</v>
      </c>
    </row>
    <row r="1650" spans="4:9" ht="12.75">
      <c r="D1650" s="5" t="s">
        <v>927</v>
      </c>
      <c r="E1650" s="55" t="s">
        <v>886</v>
      </c>
      <c r="F1650" s="55"/>
      <c r="G1650" s="24">
        <v>637000</v>
      </c>
      <c r="H1650" s="24">
        <v>879000</v>
      </c>
      <c r="I1650" s="24">
        <f>G1650+H1650</f>
        <v>1516000</v>
      </c>
    </row>
    <row r="1651" spans="4:9" ht="13.5" thickBot="1">
      <c r="D1651" s="5" t="s">
        <v>214</v>
      </c>
      <c r="E1651" s="55" t="s">
        <v>215</v>
      </c>
      <c r="F1651" s="55"/>
      <c r="G1651" s="24">
        <v>0</v>
      </c>
      <c r="H1651" s="24">
        <v>1282000</v>
      </c>
      <c r="I1651" s="24">
        <f>G1651+H1651</f>
        <v>1282000</v>
      </c>
    </row>
    <row r="1652" spans="5:9" ht="12.75">
      <c r="E1652" s="58" t="s">
        <v>45</v>
      </c>
      <c r="F1652" s="58"/>
      <c r="G1652" s="25"/>
      <c r="H1652" s="25"/>
      <c r="I1652" s="25"/>
    </row>
    <row r="1653" spans="4:9" ht="12.75">
      <c r="D1653" s="5" t="s">
        <v>772</v>
      </c>
      <c r="E1653" s="55" t="s">
        <v>773</v>
      </c>
      <c r="F1653" s="55"/>
      <c r="G1653" s="24">
        <f>SUM(G1636:G1652)</f>
        <v>674517000</v>
      </c>
      <c r="I1653" s="24">
        <f>G1653+H1653</f>
        <v>674517000</v>
      </c>
    </row>
    <row r="1654" spans="4:9" ht="13.5" thickBot="1">
      <c r="D1654" s="5" t="s">
        <v>778</v>
      </c>
      <c r="E1654" s="55" t="s">
        <v>779</v>
      </c>
      <c r="F1654" s="55"/>
      <c r="H1654" s="24">
        <v>12867000</v>
      </c>
      <c r="I1654" s="24">
        <f>G1654+H1654</f>
        <v>12867000</v>
      </c>
    </row>
    <row r="1655" spans="5:9" ht="13.5" thickBot="1">
      <c r="E1655" s="56" t="s">
        <v>46</v>
      </c>
      <c r="F1655" s="56"/>
      <c r="G1655" s="26">
        <f>SUM(G1653:G1654)</f>
        <v>674517000</v>
      </c>
      <c r="H1655" s="26">
        <f>SUM(H1653:H1654)</f>
        <v>12867000</v>
      </c>
      <c r="I1655" s="26">
        <f>G1655+H1655</f>
        <v>687384000</v>
      </c>
    </row>
    <row r="1656" spans="5:9" ht="12.75">
      <c r="E1656" s="58" t="s">
        <v>55</v>
      </c>
      <c r="F1656" s="58"/>
      <c r="G1656" s="25"/>
      <c r="H1656" s="25"/>
      <c r="I1656" s="25"/>
    </row>
    <row r="1657" spans="4:9" ht="12.75">
      <c r="D1657" s="5" t="s">
        <v>772</v>
      </c>
      <c r="E1657" s="55" t="s">
        <v>773</v>
      </c>
      <c r="F1657" s="55"/>
      <c r="G1657" s="24">
        <f>+G1653+G1630</f>
        <v>719033000</v>
      </c>
      <c r="H1657" s="24">
        <v>0</v>
      </c>
      <c r="I1657" s="24">
        <f>G1657+H1657</f>
        <v>719033000</v>
      </c>
    </row>
    <row r="1658" spans="4:9" ht="12.75">
      <c r="D1658" s="5" t="s">
        <v>784</v>
      </c>
      <c r="E1658" s="55" t="s">
        <v>785</v>
      </c>
      <c r="F1658" s="55"/>
      <c r="G1658" s="24">
        <v>0</v>
      </c>
      <c r="H1658" s="24">
        <f>+H1631</f>
        <v>1950000</v>
      </c>
      <c r="I1658" s="24">
        <f>G1658+H1658</f>
        <v>1950000</v>
      </c>
    </row>
    <row r="1659" spans="4:9" ht="13.5" thickBot="1">
      <c r="D1659" s="5" t="s">
        <v>778</v>
      </c>
      <c r="E1659" s="55" t="s">
        <v>779</v>
      </c>
      <c r="F1659" s="55"/>
      <c r="G1659" s="24">
        <v>0</v>
      </c>
      <c r="H1659" s="24">
        <f>+H1654+H1632</f>
        <v>51866000</v>
      </c>
      <c r="I1659" s="24">
        <f>G1659+H1659</f>
        <v>51866000</v>
      </c>
    </row>
    <row r="1660" spans="5:9" ht="13.5" thickBot="1">
      <c r="E1660" s="56" t="s">
        <v>56</v>
      </c>
      <c r="F1660" s="56"/>
      <c r="G1660" s="26">
        <f>SUM(G1657:G1659)</f>
        <v>719033000</v>
      </c>
      <c r="H1660" s="26">
        <f>SUM(H1657:H1659)</f>
        <v>53816000</v>
      </c>
      <c r="I1660" s="26">
        <f>G1660+H1660</f>
        <v>772849000</v>
      </c>
    </row>
    <row r="1661" spans="5:9" ht="12.75">
      <c r="E1661" s="12"/>
      <c r="F1661" s="12"/>
      <c r="G1661" s="29"/>
      <c r="H1661" s="29"/>
      <c r="I1661" s="29"/>
    </row>
    <row r="1662" spans="1:6" ht="12.75">
      <c r="A1662" s="8">
        <v>18</v>
      </c>
      <c r="B1662" s="9" t="s">
        <v>766</v>
      </c>
      <c r="C1662" s="8"/>
      <c r="D1662" s="9"/>
      <c r="E1662" s="57" t="s">
        <v>114</v>
      </c>
      <c r="F1662" s="57"/>
    </row>
    <row r="1663" spans="1:6" ht="12.75">
      <c r="A1663" s="8"/>
      <c r="B1663" s="9"/>
      <c r="C1663" s="8" t="s">
        <v>792</v>
      </c>
      <c r="D1663" s="9"/>
      <c r="E1663" s="57" t="s">
        <v>793</v>
      </c>
      <c r="F1663" s="57"/>
    </row>
    <row r="1664" spans="4:9" ht="12.75">
      <c r="D1664" s="5" t="s">
        <v>911</v>
      </c>
      <c r="E1664" s="55" t="s">
        <v>199</v>
      </c>
      <c r="F1664" s="55"/>
      <c r="G1664" s="24">
        <v>23813000</v>
      </c>
      <c r="H1664" s="24">
        <v>0</v>
      </c>
      <c r="I1664" s="24">
        <f aca="true" t="shared" si="77" ref="I1664:I1676">G1664+H1664</f>
        <v>23813000</v>
      </c>
    </row>
    <row r="1665" spans="4:9" ht="12.75">
      <c r="D1665" s="5" t="s">
        <v>912</v>
      </c>
      <c r="E1665" s="55" t="s">
        <v>877</v>
      </c>
      <c r="F1665" s="55"/>
      <c r="G1665" s="24">
        <v>4311000</v>
      </c>
      <c r="H1665" s="24">
        <v>0</v>
      </c>
      <c r="I1665" s="24">
        <f t="shared" si="77"/>
        <v>4311000</v>
      </c>
    </row>
    <row r="1666" spans="4:9" ht="12.75">
      <c r="D1666" s="5" t="s">
        <v>918</v>
      </c>
      <c r="E1666" s="55" t="s">
        <v>878</v>
      </c>
      <c r="F1666" s="55"/>
      <c r="G1666" s="24">
        <v>51000</v>
      </c>
      <c r="H1666" s="24">
        <v>329085</v>
      </c>
      <c r="I1666" s="24">
        <f t="shared" si="77"/>
        <v>380085</v>
      </c>
    </row>
    <row r="1667" spans="4:9" ht="12.75">
      <c r="D1667" s="5" t="s">
        <v>921</v>
      </c>
      <c r="E1667" s="55" t="s">
        <v>880</v>
      </c>
      <c r="F1667" s="55"/>
      <c r="G1667" s="24">
        <v>480000</v>
      </c>
      <c r="H1667" s="24">
        <v>2549138.57</v>
      </c>
      <c r="I1667" s="24">
        <f t="shared" si="77"/>
        <v>3029138.57</v>
      </c>
    </row>
    <row r="1668" spans="4:9" ht="12.75">
      <c r="D1668" s="5" t="s">
        <v>919</v>
      </c>
      <c r="E1668" s="55" t="s">
        <v>200</v>
      </c>
      <c r="F1668" s="55"/>
      <c r="G1668" s="24">
        <v>207000</v>
      </c>
      <c r="H1668" s="24">
        <v>841553.22</v>
      </c>
      <c r="I1668" s="24">
        <f t="shared" si="77"/>
        <v>1048553.22</v>
      </c>
    </row>
    <row r="1669" spans="4:9" ht="12.75">
      <c r="D1669" s="5" t="s">
        <v>922</v>
      </c>
      <c r="E1669" s="55" t="s">
        <v>201</v>
      </c>
      <c r="F1669" s="55"/>
      <c r="H1669" s="24">
        <v>500000</v>
      </c>
      <c r="I1669" s="24">
        <f t="shared" si="77"/>
        <v>500000</v>
      </c>
    </row>
    <row r="1670" spans="4:9" ht="12.75">
      <c r="D1670" s="5" t="s">
        <v>913</v>
      </c>
      <c r="E1670" s="55" t="s">
        <v>881</v>
      </c>
      <c r="F1670" s="55"/>
      <c r="G1670" s="24">
        <v>491000</v>
      </c>
      <c r="H1670" s="24">
        <v>1824121.7</v>
      </c>
      <c r="I1670" s="24">
        <f t="shared" si="77"/>
        <v>2315121.7</v>
      </c>
    </row>
    <row r="1671" spans="4:9" ht="12.75">
      <c r="D1671" s="5" t="s">
        <v>915</v>
      </c>
      <c r="E1671" s="55" t="s">
        <v>879</v>
      </c>
      <c r="F1671" s="55"/>
      <c r="G1671" s="24">
        <v>90000</v>
      </c>
      <c r="H1671" s="24">
        <v>237.95000000018626</v>
      </c>
      <c r="I1671" s="24">
        <f t="shared" si="77"/>
        <v>90237.95000000019</v>
      </c>
    </row>
    <row r="1672" spans="4:9" ht="12.75">
      <c r="D1672" s="5" t="s">
        <v>916</v>
      </c>
      <c r="E1672" s="55" t="s">
        <v>882</v>
      </c>
      <c r="F1672" s="55"/>
      <c r="G1672" s="24">
        <v>122000</v>
      </c>
      <c r="H1672" s="24">
        <v>2494262.22</v>
      </c>
      <c r="I1672" s="24">
        <f t="shared" si="77"/>
        <v>2616262.22</v>
      </c>
    </row>
    <row r="1673" spans="4:9" ht="12.75">
      <c r="D1673" s="5" t="s">
        <v>923</v>
      </c>
      <c r="E1673" s="55" t="s">
        <v>883</v>
      </c>
      <c r="F1673" s="55"/>
      <c r="G1673" s="24">
        <v>100000</v>
      </c>
      <c r="H1673" s="24">
        <v>2500000</v>
      </c>
      <c r="I1673" s="24">
        <f t="shared" si="77"/>
        <v>2600000</v>
      </c>
    </row>
    <row r="1674" spans="4:9" ht="12.75">
      <c r="D1674" s="5" t="s">
        <v>924</v>
      </c>
      <c r="E1674" s="55" t="s">
        <v>203</v>
      </c>
      <c r="F1674" s="55"/>
      <c r="G1674" s="24">
        <v>91000</v>
      </c>
      <c r="H1674" s="24">
        <v>489632.66</v>
      </c>
      <c r="I1674" s="24">
        <f t="shared" si="77"/>
        <v>580632.6599999999</v>
      </c>
    </row>
    <row r="1675" spans="4:9" ht="12.75">
      <c r="D1675" s="5" t="s">
        <v>925</v>
      </c>
      <c r="E1675" s="55" t="s">
        <v>884</v>
      </c>
      <c r="F1675" s="55"/>
      <c r="G1675" s="24">
        <v>32000</v>
      </c>
      <c r="H1675" s="24">
        <v>3608051.92</v>
      </c>
      <c r="I1675" s="24">
        <f t="shared" si="77"/>
        <v>3640051.92</v>
      </c>
    </row>
    <row r="1676" spans="4:9" ht="12.75">
      <c r="D1676" s="5" t="s">
        <v>749</v>
      </c>
      <c r="E1676" s="55" t="s">
        <v>896</v>
      </c>
      <c r="F1676" s="55"/>
      <c r="G1676" s="7">
        <v>1657051000</v>
      </c>
      <c r="H1676" s="7"/>
      <c r="I1676" s="7">
        <f t="shared" si="77"/>
        <v>1657051000</v>
      </c>
    </row>
    <row r="1677" spans="5:6" ht="40.5" customHeight="1">
      <c r="E1677" s="55" t="s">
        <v>78</v>
      </c>
      <c r="F1677" s="55"/>
    </row>
    <row r="1678" spans="4:9" ht="12.75">
      <c r="D1678" s="5" t="s">
        <v>930</v>
      </c>
      <c r="E1678" s="55" t="s">
        <v>209</v>
      </c>
      <c r="F1678" s="55"/>
      <c r="G1678" s="24">
        <v>2350000</v>
      </c>
      <c r="I1678" s="24">
        <f>G1678+H1678</f>
        <v>2350000</v>
      </c>
    </row>
    <row r="1679" spans="5:6" ht="27" customHeight="1">
      <c r="E1679" s="55" t="s">
        <v>79</v>
      </c>
      <c r="F1679" s="55"/>
    </row>
    <row r="1680" spans="4:9" ht="12.75">
      <c r="D1680" s="5" t="s">
        <v>754</v>
      </c>
      <c r="E1680" s="55" t="s">
        <v>212</v>
      </c>
      <c r="F1680" s="55"/>
      <c r="G1680" s="24">
        <v>208000</v>
      </c>
      <c r="H1680" s="24">
        <v>729685.62</v>
      </c>
      <c r="I1680" s="24">
        <f>G1680+H1680</f>
        <v>937685.62</v>
      </c>
    </row>
    <row r="1681" spans="4:9" ht="12.75">
      <c r="D1681" s="5" t="s">
        <v>755</v>
      </c>
      <c r="E1681" s="55" t="s">
        <v>213</v>
      </c>
      <c r="F1681" s="55"/>
      <c r="H1681" s="24">
        <v>450000</v>
      </c>
      <c r="I1681" s="24">
        <f>G1681+H1681</f>
        <v>450000</v>
      </c>
    </row>
    <row r="1682" spans="4:9" ht="12.75">
      <c r="D1682" s="5" t="s">
        <v>926</v>
      </c>
      <c r="E1682" s="55" t="s">
        <v>885</v>
      </c>
      <c r="F1682" s="55"/>
      <c r="G1682" s="24">
        <v>291134000</v>
      </c>
      <c r="H1682" s="24">
        <v>58636319.110000014</v>
      </c>
      <c r="I1682" s="24">
        <f>G1682+H1682</f>
        <v>349770319.11</v>
      </c>
    </row>
    <row r="1683" spans="4:9" ht="13.5" thickBot="1">
      <c r="D1683" s="5" t="s">
        <v>927</v>
      </c>
      <c r="E1683" s="55" t="s">
        <v>886</v>
      </c>
      <c r="F1683" s="55"/>
      <c r="G1683" s="24">
        <v>522000</v>
      </c>
      <c r="H1683" s="24">
        <v>5456080.1</v>
      </c>
      <c r="I1683" s="24">
        <f>G1683+H1683</f>
        <v>5978080.1</v>
      </c>
    </row>
    <row r="1684" spans="5:9" ht="12.75">
      <c r="E1684" s="58" t="s">
        <v>712</v>
      </c>
      <c r="F1684" s="58"/>
      <c r="G1684" s="25"/>
      <c r="H1684" s="25"/>
      <c r="I1684" s="25"/>
    </row>
    <row r="1685" spans="4:9" ht="12.75">
      <c r="D1685" s="5" t="s">
        <v>772</v>
      </c>
      <c r="E1685" s="55" t="s">
        <v>773</v>
      </c>
      <c r="F1685" s="55"/>
      <c r="G1685" s="24">
        <f>SUM(G1664:G1684)</f>
        <v>1981053000</v>
      </c>
      <c r="I1685" s="24">
        <f>G1685+H1685</f>
        <v>1981053000</v>
      </c>
    </row>
    <row r="1686" spans="4:9" ht="12.75">
      <c r="D1686" s="5" t="s">
        <v>784</v>
      </c>
      <c r="E1686" s="55" t="s">
        <v>785</v>
      </c>
      <c r="F1686" s="55"/>
      <c r="H1686" s="24">
        <f>SUM(H1666:H1685)-H1687</f>
        <v>80293919.07000001</v>
      </c>
      <c r="I1686" s="24">
        <f>G1686+H1686</f>
        <v>80293919.07000001</v>
      </c>
    </row>
    <row r="1687" spans="4:9" ht="13.5" thickBot="1">
      <c r="D1687" s="5" t="s">
        <v>979</v>
      </c>
      <c r="E1687" s="55" t="s">
        <v>374</v>
      </c>
      <c r="F1687" s="55"/>
      <c r="H1687" s="24">
        <v>114249</v>
      </c>
      <c r="I1687" s="24">
        <f>G1687+H1687</f>
        <v>114249</v>
      </c>
    </row>
    <row r="1688" spans="5:9" ht="13.5" thickBot="1">
      <c r="E1688" s="56" t="s">
        <v>713</v>
      </c>
      <c r="F1688" s="56"/>
      <c r="G1688" s="26">
        <f>SUM(G1685:G1687)</f>
        <v>1981053000</v>
      </c>
      <c r="H1688" s="26">
        <f>SUM(H1685:H1687)</f>
        <v>80408168.07000001</v>
      </c>
      <c r="I1688" s="26">
        <f>G1688+H1688</f>
        <v>2061461168.07</v>
      </c>
    </row>
    <row r="1690" spans="1:6" ht="12.75">
      <c r="A1690" s="8"/>
      <c r="B1690" s="9"/>
      <c r="C1690" s="8" t="s">
        <v>833</v>
      </c>
      <c r="D1690" s="9"/>
      <c r="E1690" s="57" t="s">
        <v>834</v>
      </c>
      <c r="F1690" s="57"/>
    </row>
    <row r="1691" spans="4:9" ht="12.75">
      <c r="D1691" s="5" t="s">
        <v>911</v>
      </c>
      <c r="E1691" s="55" t="s">
        <v>199</v>
      </c>
      <c r="F1691" s="55"/>
      <c r="G1691" s="24">
        <v>8361000</v>
      </c>
      <c r="H1691" s="24">
        <v>0</v>
      </c>
      <c r="I1691" s="24">
        <f aca="true" t="shared" si="78" ref="I1691:I1701">G1691+H1691</f>
        <v>8361000</v>
      </c>
    </row>
    <row r="1692" spans="4:9" ht="12.75">
      <c r="D1692" s="5" t="s">
        <v>912</v>
      </c>
      <c r="E1692" s="55" t="s">
        <v>877</v>
      </c>
      <c r="F1692" s="55"/>
      <c r="G1692" s="24">
        <v>1413000</v>
      </c>
      <c r="H1692" s="24">
        <v>0</v>
      </c>
      <c r="I1692" s="24">
        <f t="shared" si="78"/>
        <v>1413000</v>
      </c>
    </row>
    <row r="1693" spans="4:9" ht="12.75">
      <c r="D1693" s="5" t="s">
        <v>918</v>
      </c>
      <c r="E1693" s="55" t="s">
        <v>878</v>
      </c>
      <c r="F1693" s="55"/>
      <c r="H1693" s="24">
        <v>50000</v>
      </c>
      <c r="I1693" s="24">
        <f t="shared" si="78"/>
        <v>50000</v>
      </c>
    </row>
    <row r="1694" spans="4:9" ht="12.75">
      <c r="D1694" s="5" t="s">
        <v>921</v>
      </c>
      <c r="E1694" s="55" t="s">
        <v>880</v>
      </c>
      <c r="F1694" s="55"/>
      <c r="G1694" s="24">
        <v>350000</v>
      </c>
      <c r="H1694" s="24">
        <v>828162</v>
      </c>
      <c r="I1694" s="24">
        <f t="shared" si="78"/>
        <v>1178162</v>
      </c>
    </row>
    <row r="1695" spans="4:9" ht="12.75">
      <c r="D1695" s="5" t="s">
        <v>919</v>
      </c>
      <c r="E1695" s="55" t="s">
        <v>200</v>
      </c>
      <c r="F1695" s="55"/>
      <c r="G1695" s="24">
        <v>216000</v>
      </c>
      <c r="H1695" s="24">
        <v>84253.92</v>
      </c>
      <c r="I1695" s="24">
        <f t="shared" si="78"/>
        <v>300253.92</v>
      </c>
    </row>
    <row r="1696" spans="4:9" ht="12.75">
      <c r="D1696" s="5" t="s">
        <v>913</v>
      </c>
      <c r="E1696" s="55" t="s">
        <v>881</v>
      </c>
      <c r="F1696" s="55"/>
      <c r="G1696" s="24">
        <v>326000</v>
      </c>
      <c r="H1696" s="24">
        <v>67993.41</v>
      </c>
      <c r="I1696" s="24">
        <f t="shared" si="78"/>
        <v>393993.41000000003</v>
      </c>
    </row>
    <row r="1697" spans="4:9" ht="12.75">
      <c r="D1697" s="5" t="s">
        <v>915</v>
      </c>
      <c r="E1697" s="55" t="s">
        <v>879</v>
      </c>
      <c r="F1697" s="55"/>
      <c r="G1697" s="24">
        <v>78000</v>
      </c>
      <c r="H1697" s="24">
        <v>424269</v>
      </c>
      <c r="I1697" s="24">
        <f t="shared" si="78"/>
        <v>502269</v>
      </c>
    </row>
    <row r="1698" spans="4:9" ht="12.75">
      <c r="D1698" s="5" t="s">
        <v>916</v>
      </c>
      <c r="E1698" s="55" t="s">
        <v>882</v>
      </c>
      <c r="F1698" s="55"/>
      <c r="G1698" s="24">
        <v>159000</v>
      </c>
      <c r="H1698" s="24">
        <v>29234313.799999997</v>
      </c>
      <c r="I1698" s="24">
        <f t="shared" si="78"/>
        <v>29393313.799999997</v>
      </c>
    </row>
    <row r="1699" spans="4:9" ht="12.75">
      <c r="D1699" s="5" t="s">
        <v>924</v>
      </c>
      <c r="E1699" s="55" t="s">
        <v>203</v>
      </c>
      <c r="F1699" s="55"/>
      <c r="G1699" s="24">
        <v>250000</v>
      </c>
      <c r="H1699" s="24">
        <v>149551.52</v>
      </c>
      <c r="I1699" s="24">
        <f t="shared" si="78"/>
        <v>399551.52</v>
      </c>
    </row>
    <row r="1700" spans="4:9" ht="12.75">
      <c r="D1700" s="5" t="s">
        <v>925</v>
      </c>
      <c r="E1700" s="55" t="s">
        <v>884</v>
      </c>
      <c r="F1700" s="55"/>
      <c r="G1700" s="24">
        <v>100000</v>
      </c>
      <c r="H1700" s="24">
        <v>87136</v>
      </c>
      <c r="I1700" s="24">
        <f t="shared" si="78"/>
        <v>187136</v>
      </c>
    </row>
    <row r="1701" spans="4:9" ht="12.75">
      <c r="D1701" s="5" t="s">
        <v>749</v>
      </c>
      <c r="E1701" s="55" t="s">
        <v>896</v>
      </c>
      <c r="F1701" s="55"/>
      <c r="G1701" s="7">
        <v>26000000</v>
      </c>
      <c r="H1701" s="7"/>
      <c r="I1701" s="7">
        <f t="shared" si="78"/>
        <v>26000000</v>
      </c>
    </row>
    <row r="1702" spans="5:6" ht="27" customHeight="1">
      <c r="E1702" s="55" t="s">
        <v>80</v>
      </c>
      <c r="F1702" s="55"/>
    </row>
    <row r="1703" spans="4:9" ht="12.75">
      <c r="D1703" s="5" t="s">
        <v>930</v>
      </c>
      <c r="E1703" s="55" t="s">
        <v>209</v>
      </c>
      <c r="F1703" s="55"/>
      <c r="G1703" s="24">
        <v>41808000</v>
      </c>
      <c r="I1703" s="24">
        <f>G1703+H1703</f>
        <v>41808000</v>
      </c>
    </row>
    <row r="1704" spans="5:6" ht="40.5" customHeight="1">
      <c r="E1704" s="55" t="s">
        <v>81</v>
      </c>
      <c r="F1704" s="55"/>
    </row>
    <row r="1705" spans="4:9" ht="12.75">
      <c r="D1705" s="5" t="s">
        <v>754</v>
      </c>
      <c r="E1705" s="55" t="s">
        <v>212</v>
      </c>
      <c r="F1705" s="55"/>
      <c r="G1705" s="24">
        <v>24000</v>
      </c>
      <c r="H1705" s="24">
        <v>74587.85</v>
      </c>
      <c r="I1705" s="24">
        <f>G1705+H1705</f>
        <v>98587.85</v>
      </c>
    </row>
    <row r="1706" spans="4:9" ht="13.5" thickBot="1">
      <c r="D1706" s="5" t="s">
        <v>927</v>
      </c>
      <c r="E1706" s="55" t="s">
        <v>886</v>
      </c>
      <c r="F1706" s="55"/>
      <c r="G1706" s="24">
        <v>352000</v>
      </c>
      <c r="H1706" s="24">
        <v>100000</v>
      </c>
      <c r="I1706" s="24">
        <f>G1706+H1706</f>
        <v>452000</v>
      </c>
    </row>
    <row r="1707" spans="5:9" ht="12.75">
      <c r="E1707" s="58" t="s">
        <v>279</v>
      </c>
      <c r="F1707" s="58"/>
      <c r="G1707" s="25"/>
      <c r="H1707" s="25"/>
      <c r="I1707" s="25"/>
    </row>
    <row r="1708" spans="4:9" ht="12.75">
      <c r="D1708" s="5" t="s">
        <v>772</v>
      </c>
      <c r="E1708" s="55" t="s">
        <v>773</v>
      </c>
      <c r="F1708" s="55"/>
      <c r="G1708" s="24">
        <f>SUM(G1691:G1707)</f>
        <v>79437000</v>
      </c>
      <c r="I1708" s="24">
        <f>G1708+H1708</f>
        <v>79437000</v>
      </c>
    </row>
    <row r="1709" spans="4:9" ht="12.75">
      <c r="D1709" s="5" t="s">
        <v>784</v>
      </c>
      <c r="E1709" s="55" t="s">
        <v>785</v>
      </c>
      <c r="F1709" s="55"/>
      <c r="H1709" s="24">
        <f>SUM(H1693:H1708)-H1710</f>
        <v>28907153.499999996</v>
      </c>
      <c r="I1709" s="24">
        <f>G1709+H1709</f>
        <v>28907153.499999996</v>
      </c>
    </row>
    <row r="1710" spans="4:9" ht="13.5" thickBot="1">
      <c r="D1710" s="5" t="s">
        <v>825</v>
      </c>
      <c r="E1710" s="55" t="s">
        <v>905</v>
      </c>
      <c r="F1710" s="55"/>
      <c r="H1710" s="24">
        <v>2193114</v>
      </c>
      <c r="I1710" s="24">
        <f>G1710+H1710</f>
        <v>2193114</v>
      </c>
    </row>
    <row r="1711" spans="5:9" ht="13.5" thickBot="1">
      <c r="E1711" s="56" t="s">
        <v>280</v>
      </c>
      <c r="F1711" s="56"/>
      <c r="G1711" s="26">
        <f>SUM(G1708:G1710)</f>
        <v>79437000</v>
      </c>
      <c r="H1711" s="26">
        <f>SUM(H1708:H1710)</f>
        <v>31100267.499999996</v>
      </c>
      <c r="I1711" s="26">
        <f>G1711+H1711</f>
        <v>110537267.5</v>
      </c>
    </row>
    <row r="1712" spans="5:9" ht="12.75">
      <c r="E1712" s="58" t="s">
        <v>89</v>
      </c>
      <c r="F1712" s="58"/>
      <c r="G1712" s="25"/>
      <c r="H1712" s="25"/>
      <c r="I1712" s="25"/>
    </row>
    <row r="1713" spans="4:9" ht="12.75">
      <c r="D1713" s="5" t="s">
        <v>772</v>
      </c>
      <c r="E1713" s="55" t="s">
        <v>773</v>
      </c>
      <c r="F1713" s="55"/>
      <c r="G1713" s="24">
        <f>+G1708+G1685</f>
        <v>2060490000</v>
      </c>
      <c r="H1713" s="24">
        <v>0</v>
      </c>
      <c r="I1713" s="24">
        <f>G1713+H1713</f>
        <v>2060490000</v>
      </c>
    </row>
    <row r="1714" spans="4:9" ht="12.75">
      <c r="D1714" s="5" t="s">
        <v>784</v>
      </c>
      <c r="E1714" s="55" t="s">
        <v>785</v>
      </c>
      <c r="F1714" s="55"/>
      <c r="G1714" s="24">
        <v>0</v>
      </c>
      <c r="H1714" s="24">
        <f>+H1709+H1686</f>
        <v>109201072.57000001</v>
      </c>
      <c r="I1714" s="24">
        <f>G1714+H1714</f>
        <v>109201072.57000001</v>
      </c>
    </row>
    <row r="1715" spans="4:9" ht="12.75">
      <c r="D1715" s="5" t="s">
        <v>825</v>
      </c>
      <c r="E1715" s="55" t="s">
        <v>905</v>
      </c>
      <c r="F1715" s="55"/>
      <c r="G1715" s="24">
        <v>0</v>
      </c>
      <c r="H1715" s="24">
        <f>+H1710</f>
        <v>2193114</v>
      </c>
      <c r="I1715" s="24">
        <f>G1715+H1715</f>
        <v>2193114</v>
      </c>
    </row>
    <row r="1716" spans="4:9" ht="13.5" thickBot="1">
      <c r="D1716" s="5" t="s">
        <v>979</v>
      </c>
      <c r="E1716" s="55" t="s">
        <v>374</v>
      </c>
      <c r="F1716" s="55"/>
      <c r="G1716" s="24">
        <v>0</v>
      </c>
      <c r="H1716" s="24">
        <f>+H1687</f>
        <v>114249</v>
      </c>
      <c r="I1716" s="24">
        <f>G1716+H1716</f>
        <v>114249</v>
      </c>
    </row>
    <row r="1717" spans="5:9" ht="13.5" thickBot="1">
      <c r="E1717" s="56" t="s">
        <v>90</v>
      </c>
      <c r="F1717" s="56"/>
      <c r="G1717" s="26">
        <f>SUM(G1713:G1716)</f>
        <v>2060490000</v>
      </c>
      <c r="H1717" s="26">
        <f>SUM(H1713:H1716)</f>
        <v>111508435.57000001</v>
      </c>
      <c r="I1717" s="26">
        <f>G1717+H1717</f>
        <v>2171998435.57</v>
      </c>
    </row>
    <row r="1719" spans="1:6" ht="26.25" customHeight="1">
      <c r="A1719" s="8">
        <v>19</v>
      </c>
      <c r="B1719" s="9" t="s">
        <v>766</v>
      </c>
      <c r="C1719" s="8"/>
      <c r="D1719" s="9"/>
      <c r="E1719" s="57" t="s">
        <v>358</v>
      </c>
      <c r="F1719" s="57"/>
    </row>
    <row r="1720" spans="1:6" ht="12.75">
      <c r="A1720" s="8"/>
      <c r="B1720" s="9"/>
      <c r="C1720" s="8" t="s">
        <v>831</v>
      </c>
      <c r="D1720" s="9"/>
      <c r="E1720" s="57" t="s">
        <v>832</v>
      </c>
      <c r="F1720" s="57"/>
    </row>
    <row r="1721" spans="4:9" ht="12.75">
      <c r="D1721" s="5" t="s">
        <v>911</v>
      </c>
      <c r="E1721" s="55" t="s">
        <v>199</v>
      </c>
      <c r="F1721" s="55"/>
      <c r="G1721" s="24">
        <v>7279000</v>
      </c>
      <c r="H1721" s="24">
        <v>0</v>
      </c>
      <c r="I1721" s="24">
        <f aca="true" t="shared" si="79" ref="I1721:I1732">G1721+H1721</f>
        <v>7279000</v>
      </c>
    </row>
    <row r="1722" spans="4:9" ht="12.75">
      <c r="D1722" s="5" t="s">
        <v>912</v>
      </c>
      <c r="E1722" s="55" t="s">
        <v>877</v>
      </c>
      <c r="F1722" s="55"/>
      <c r="G1722" s="24">
        <v>1073000</v>
      </c>
      <c r="H1722" s="24">
        <v>0</v>
      </c>
      <c r="I1722" s="24">
        <f t="shared" si="79"/>
        <v>1073000</v>
      </c>
    </row>
    <row r="1723" spans="4:9" ht="12.75">
      <c r="D1723" s="5" t="s">
        <v>918</v>
      </c>
      <c r="E1723" s="55" t="s">
        <v>878</v>
      </c>
      <c r="F1723" s="55"/>
      <c r="G1723" s="24">
        <v>50000</v>
      </c>
      <c r="H1723" s="24">
        <v>0</v>
      </c>
      <c r="I1723" s="24">
        <f t="shared" si="79"/>
        <v>50000</v>
      </c>
    </row>
    <row r="1724" spans="4:9" ht="12.75">
      <c r="D1724" s="5" t="s">
        <v>921</v>
      </c>
      <c r="E1724" s="55" t="s">
        <v>880</v>
      </c>
      <c r="F1724" s="55"/>
      <c r="G1724" s="24">
        <v>133000</v>
      </c>
      <c r="H1724" s="24">
        <v>0</v>
      </c>
      <c r="I1724" s="24">
        <f t="shared" si="79"/>
        <v>133000</v>
      </c>
    </row>
    <row r="1725" spans="4:9" ht="12.75">
      <c r="D1725" s="5" t="s">
        <v>919</v>
      </c>
      <c r="E1725" s="55" t="s">
        <v>200</v>
      </c>
      <c r="F1725" s="55"/>
      <c r="G1725" s="24">
        <v>268000</v>
      </c>
      <c r="H1725" s="24">
        <v>0</v>
      </c>
      <c r="I1725" s="24">
        <f t="shared" si="79"/>
        <v>268000</v>
      </c>
    </row>
    <row r="1726" spans="4:9" ht="12.75">
      <c r="D1726" s="5" t="s">
        <v>913</v>
      </c>
      <c r="E1726" s="55" t="s">
        <v>881</v>
      </c>
      <c r="F1726" s="55"/>
      <c r="G1726" s="24">
        <v>384000</v>
      </c>
      <c r="H1726" s="24">
        <v>0</v>
      </c>
      <c r="I1726" s="24">
        <f t="shared" si="79"/>
        <v>384000</v>
      </c>
    </row>
    <row r="1727" spans="4:9" ht="12.75">
      <c r="D1727" s="5" t="s">
        <v>915</v>
      </c>
      <c r="E1727" s="55" t="s">
        <v>879</v>
      </c>
      <c r="F1727" s="55"/>
      <c r="G1727" s="24">
        <v>570000</v>
      </c>
      <c r="H1727" s="24">
        <v>0</v>
      </c>
      <c r="I1727" s="24">
        <f t="shared" si="79"/>
        <v>570000</v>
      </c>
    </row>
    <row r="1728" spans="4:9" ht="12.75">
      <c r="D1728" s="5" t="s">
        <v>916</v>
      </c>
      <c r="E1728" s="55" t="s">
        <v>882</v>
      </c>
      <c r="F1728" s="55"/>
      <c r="G1728" s="24">
        <v>72000</v>
      </c>
      <c r="H1728" s="24">
        <v>0</v>
      </c>
      <c r="I1728" s="24">
        <f t="shared" si="79"/>
        <v>72000</v>
      </c>
    </row>
    <row r="1729" spans="4:9" ht="12.75">
      <c r="D1729" s="5" t="s">
        <v>924</v>
      </c>
      <c r="E1729" s="55" t="s">
        <v>203</v>
      </c>
      <c r="F1729" s="55"/>
      <c r="G1729" s="24">
        <v>196000</v>
      </c>
      <c r="H1729" s="24">
        <v>0</v>
      </c>
      <c r="I1729" s="24">
        <f t="shared" si="79"/>
        <v>196000</v>
      </c>
    </row>
    <row r="1730" spans="4:9" ht="12.75">
      <c r="D1730" s="5" t="s">
        <v>925</v>
      </c>
      <c r="E1730" s="55" t="s">
        <v>884</v>
      </c>
      <c r="F1730" s="55"/>
      <c r="G1730" s="24">
        <v>388000</v>
      </c>
      <c r="H1730" s="24">
        <v>0</v>
      </c>
      <c r="I1730" s="24">
        <f t="shared" si="79"/>
        <v>388000</v>
      </c>
    </row>
    <row r="1731" spans="4:9" ht="12.75">
      <c r="D1731" s="5" t="s">
        <v>754</v>
      </c>
      <c r="E1731" s="55" t="s">
        <v>212</v>
      </c>
      <c r="F1731" s="55"/>
      <c r="G1731" s="24">
        <v>207000</v>
      </c>
      <c r="H1731" s="24">
        <v>0</v>
      </c>
      <c r="I1731" s="24">
        <f t="shared" si="79"/>
        <v>207000</v>
      </c>
    </row>
    <row r="1732" spans="4:9" ht="13.5" thickBot="1">
      <c r="D1732" s="5" t="s">
        <v>927</v>
      </c>
      <c r="E1732" s="55" t="s">
        <v>886</v>
      </c>
      <c r="F1732" s="55"/>
      <c r="G1732" s="24">
        <v>515000</v>
      </c>
      <c r="H1732" s="24">
        <v>0</v>
      </c>
      <c r="I1732" s="24">
        <f t="shared" si="79"/>
        <v>515000</v>
      </c>
    </row>
    <row r="1733" spans="5:9" ht="12.75">
      <c r="E1733" s="58" t="s">
        <v>277</v>
      </c>
      <c r="F1733" s="58"/>
      <c r="G1733" s="25"/>
      <c r="H1733" s="25"/>
      <c r="I1733" s="25"/>
    </row>
    <row r="1734" spans="4:9" ht="13.5" thickBot="1">
      <c r="D1734" s="5" t="s">
        <v>772</v>
      </c>
      <c r="E1734" s="55" t="s">
        <v>773</v>
      </c>
      <c r="F1734" s="55"/>
      <c r="G1734" s="24">
        <f>SUM(G1721:G1733)</f>
        <v>11135000</v>
      </c>
      <c r="I1734" s="24">
        <f>G1734+H1734</f>
        <v>11135000</v>
      </c>
    </row>
    <row r="1735" spans="5:9" ht="13.5" thickBot="1">
      <c r="E1735" s="56" t="s">
        <v>278</v>
      </c>
      <c r="F1735" s="56"/>
      <c r="G1735" s="26">
        <f>SUM(G1734:G1734)</f>
        <v>11135000</v>
      </c>
      <c r="H1735" s="26">
        <f>SUM(H1734:H1734)</f>
        <v>0</v>
      </c>
      <c r="I1735" s="26">
        <f>G1735+H1735</f>
        <v>11135000</v>
      </c>
    </row>
    <row r="1736" spans="5:9" ht="12.75">
      <c r="E1736" s="58" t="s">
        <v>95</v>
      </c>
      <c r="F1736" s="58"/>
      <c r="G1736" s="25"/>
      <c r="H1736" s="25"/>
      <c r="I1736" s="25"/>
    </row>
    <row r="1737" spans="4:9" ht="13.5" thickBot="1">
      <c r="D1737" s="5" t="s">
        <v>772</v>
      </c>
      <c r="E1737" s="55" t="s">
        <v>773</v>
      </c>
      <c r="F1737" s="55"/>
      <c r="G1737" s="24">
        <f>+G1734</f>
        <v>11135000</v>
      </c>
      <c r="I1737" s="24">
        <f>G1737+H1737</f>
        <v>11135000</v>
      </c>
    </row>
    <row r="1738" spans="5:9" ht="13.5" thickBot="1">
      <c r="E1738" s="56" t="s">
        <v>96</v>
      </c>
      <c r="F1738" s="56"/>
      <c r="G1738" s="26">
        <f>SUM(G1737:G1737)</f>
        <v>11135000</v>
      </c>
      <c r="H1738" s="26">
        <f>SUM(H1737:H1737)</f>
        <v>0</v>
      </c>
      <c r="I1738" s="26">
        <f>G1738+H1738</f>
        <v>11135000</v>
      </c>
    </row>
    <row r="1740" spans="1:6" ht="12.75">
      <c r="A1740" s="8">
        <v>20</v>
      </c>
      <c r="B1740" s="9" t="s">
        <v>766</v>
      </c>
      <c r="C1740" s="8"/>
      <c r="D1740" s="9"/>
      <c r="E1740" s="57" t="s">
        <v>115</v>
      </c>
      <c r="F1740" s="57"/>
    </row>
    <row r="1741" spans="1:6" ht="26.25" customHeight="1">
      <c r="A1741" s="8"/>
      <c r="B1741" s="9"/>
      <c r="C1741" s="8" t="s">
        <v>802</v>
      </c>
      <c r="D1741" s="9"/>
      <c r="E1741" s="57" t="s">
        <v>803</v>
      </c>
      <c r="F1741" s="57"/>
    </row>
    <row r="1742" spans="4:9" ht="12.75">
      <c r="D1742" s="5" t="s">
        <v>911</v>
      </c>
      <c r="E1742" s="55" t="s">
        <v>199</v>
      </c>
      <c r="F1742" s="55"/>
      <c r="G1742" s="24">
        <v>80135000</v>
      </c>
      <c r="H1742" s="24">
        <v>0</v>
      </c>
      <c r="I1742" s="24">
        <f aca="true" t="shared" si="80" ref="I1742:I1753">G1742+H1742</f>
        <v>80135000</v>
      </c>
    </row>
    <row r="1743" spans="4:9" ht="12.75">
      <c r="D1743" s="5" t="s">
        <v>912</v>
      </c>
      <c r="E1743" s="55" t="s">
        <v>877</v>
      </c>
      <c r="F1743" s="55"/>
      <c r="G1743" s="24">
        <v>14274000</v>
      </c>
      <c r="H1743" s="24">
        <v>0</v>
      </c>
      <c r="I1743" s="24">
        <f t="shared" si="80"/>
        <v>14274000</v>
      </c>
    </row>
    <row r="1744" spans="4:9" ht="12.75">
      <c r="D1744" s="5" t="s">
        <v>918</v>
      </c>
      <c r="E1744" s="55" t="s">
        <v>878</v>
      </c>
      <c r="F1744" s="55"/>
      <c r="G1744" s="24">
        <v>400000</v>
      </c>
      <c r="H1744" s="24">
        <v>0</v>
      </c>
      <c r="I1744" s="24">
        <f t="shared" si="80"/>
        <v>400000</v>
      </c>
    </row>
    <row r="1745" spans="4:9" ht="12.75">
      <c r="D1745" s="5" t="s">
        <v>921</v>
      </c>
      <c r="E1745" s="55" t="s">
        <v>880</v>
      </c>
      <c r="F1745" s="55"/>
      <c r="G1745" s="24">
        <v>1226000</v>
      </c>
      <c r="H1745" s="24">
        <v>0</v>
      </c>
      <c r="I1745" s="24">
        <f t="shared" si="80"/>
        <v>1226000</v>
      </c>
    </row>
    <row r="1746" spans="4:9" ht="12.75">
      <c r="D1746" s="5" t="s">
        <v>919</v>
      </c>
      <c r="E1746" s="55" t="s">
        <v>200</v>
      </c>
      <c r="F1746" s="55"/>
      <c r="G1746" s="24">
        <v>2045000</v>
      </c>
      <c r="H1746" s="24">
        <v>0</v>
      </c>
      <c r="I1746" s="24">
        <f t="shared" si="80"/>
        <v>2045000</v>
      </c>
    </row>
    <row r="1747" spans="4:9" ht="12.75">
      <c r="D1747" s="5" t="s">
        <v>913</v>
      </c>
      <c r="E1747" s="55" t="s">
        <v>881</v>
      </c>
      <c r="F1747" s="55"/>
      <c r="G1747" s="24">
        <v>4000000</v>
      </c>
      <c r="H1747" s="24">
        <v>0</v>
      </c>
      <c r="I1747" s="24">
        <f t="shared" si="80"/>
        <v>4000000</v>
      </c>
    </row>
    <row r="1748" spans="4:9" ht="12.75">
      <c r="D1748" s="5" t="s">
        <v>915</v>
      </c>
      <c r="E1748" s="55" t="s">
        <v>879</v>
      </c>
      <c r="F1748" s="55"/>
      <c r="G1748" s="24">
        <v>1500000</v>
      </c>
      <c r="H1748" s="24">
        <v>0</v>
      </c>
      <c r="I1748" s="24">
        <f t="shared" si="80"/>
        <v>1500000</v>
      </c>
    </row>
    <row r="1749" spans="4:9" ht="12.75">
      <c r="D1749" s="5" t="s">
        <v>916</v>
      </c>
      <c r="E1749" s="55" t="s">
        <v>882</v>
      </c>
      <c r="F1749" s="55"/>
      <c r="G1749" s="24">
        <v>4500000</v>
      </c>
      <c r="H1749" s="24">
        <v>881572.89</v>
      </c>
      <c r="I1749" s="24">
        <f t="shared" si="80"/>
        <v>5381572.89</v>
      </c>
    </row>
    <row r="1750" spans="4:9" ht="12.75">
      <c r="D1750" s="5" t="s">
        <v>923</v>
      </c>
      <c r="E1750" s="55" t="s">
        <v>883</v>
      </c>
      <c r="F1750" s="55"/>
      <c r="G1750" s="24">
        <v>1547000</v>
      </c>
      <c r="H1750" s="24">
        <v>0</v>
      </c>
      <c r="I1750" s="24">
        <f t="shared" si="80"/>
        <v>1547000</v>
      </c>
    </row>
    <row r="1751" spans="4:9" ht="12.75">
      <c r="D1751" s="5" t="s">
        <v>924</v>
      </c>
      <c r="E1751" s="55" t="s">
        <v>203</v>
      </c>
      <c r="F1751" s="55"/>
      <c r="G1751" s="24">
        <v>1500000</v>
      </c>
      <c r="H1751" s="24">
        <v>0</v>
      </c>
      <c r="I1751" s="24">
        <f t="shared" si="80"/>
        <v>1500000</v>
      </c>
    </row>
    <row r="1752" spans="4:9" ht="12.75">
      <c r="D1752" s="5" t="s">
        <v>925</v>
      </c>
      <c r="E1752" s="55" t="s">
        <v>884</v>
      </c>
      <c r="F1752" s="55"/>
      <c r="G1752" s="24">
        <v>2698000</v>
      </c>
      <c r="H1752" s="24">
        <v>0</v>
      </c>
      <c r="I1752" s="24">
        <f t="shared" si="80"/>
        <v>2698000</v>
      </c>
    </row>
    <row r="1753" spans="4:9" ht="12.75">
      <c r="D1753" s="5" t="s">
        <v>749</v>
      </c>
      <c r="E1753" s="55" t="s">
        <v>896</v>
      </c>
      <c r="F1753" s="55"/>
      <c r="G1753" s="7">
        <v>3750000</v>
      </c>
      <c r="H1753" s="7">
        <v>0</v>
      </c>
      <c r="I1753" s="7">
        <f t="shared" si="80"/>
        <v>3750000</v>
      </c>
    </row>
    <row r="1754" spans="5:7" ht="28.5" customHeight="1">
      <c r="E1754" s="55" t="s">
        <v>466</v>
      </c>
      <c r="F1754" s="55"/>
      <c r="G1754" s="24">
        <v>0</v>
      </c>
    </row>
    <row r="1755" spans="4:9" ht="12.75">
      <c r="D1755" s="5" t="s">
        <v>754</v>
      </c>
      <c r="E1755" s="55" t="s">
        <v>212</v>
      </c>
      <c r="F1755" s="55"/>
      <c r="G1755" s="24">
        <v>2044000</v>
      </c>
      <c r="H1755" s="24">
        <v>0</v>
      </c>
      <c r="I1755" s="24">
        <f>G1755+H1755</f>
        <v>2044000</v>
      </c>
    </row>
    <row r="1756" spans="4:9" ht="13.5" thickBot="1">
      <c r="D1756" s="5" t="s">
        <v>927</v>
      </c>
      <c r="E1756" s="55" t="s">
        <v>886</v>
      </c>
      <c r="F1756" s="55"/>
      <c r="G1756" s="24">
        <v>1000000</v>
      </c>
      <c r="H1756" s="24">
        <v>0</v>
      </c>
      <c r="I1756" s="24">
        <f>G1756+H1756</f>
        <v>1000000</v>
      </c>
    </row>
    <row r="1757" spans="5:9" ht="12.75">
      <c r="E1757" s="58" t="s">
        <v>32</v>
      </c>
      <c r="F1757" s="58"/>
      <c r="G1757" s="25"/>
      <c r="H1757" s="25"/>
      <c r="I1757" s="25"/>
    </row>
    <row r="1758" spans="4:9" ht="12.75">
      <c r="D1758" s="5" t="s">
        <v>772</v>
      </c>
      <c r="E1758" s="55" t="s">
        <v>773</v>
      </c>
      <c r="F1758" s="55"/>
      <c r="G1758" s="24">
        <f>SUM(G1742:G1757)</f>
        <v>120619000</v>
      </c>
      <c r="I1758" s="24">
        <f>G1758+H1758</f>
        <v>120619000</v>
      </c>
    </row>
    <row r="1759" spans="4:9" ht="13.5" thickBot="1">
      <c r="D1759" s="5" t="s">
        <v>979</v>
      </c>
      <c r="E1759" s="55" t="s">
        <v>374</v>
      </c>
      <c r="F1759" s="55"/>
      <c r="H1759" s="24">
        <v>881572.89</v>
      </c>
      <c r="I1759" s="24">
        <f>G1759+H1759</f>
        <v>881572.89</v>
      </c>
    </row>
    <row r="1760" spans="5:9" ht="13.5" thickBot="1">
      <c r="E1760" s="56" t="s">
        <v>33</v>
      </c>
      <c r="F1760" s="56"/>
      <c r="G1760" s="26">
        <f>SUM(G1758:G1759)</f>
        <v>120619000</v>
      </c>
      <c r="H1760" s="26">
        <f>SUM(H1758:H1759)</f>
        <v>881572.89</v>
      </c>
      <c r="I1760" s="26">
        <f>G1760+H1760</f>
        <v>121500572.89</v>
      </c>
    </row>
    <row r="1761" spans="5:9" ht="12.75">
      <c r="E1761" s="58" t="s">
        <v>344</v>
      </c>
      <c r="F1761" s="58"/>
      <c r="G1761" s="25"/>
      <c r="H1761" s="25"/>
      <c r="I1761" s="25"/>
    </row>
    <row r="1762" spans="4:9" ht="12.75">
      <c r="D1762" s="5" t="s">
        <v>772</v>
      </c>
      <c r="E1762" s="55" t="s">
        <v>773</v>
      </c>
      <c r="F1762" s="55"/>
      <c r="G1762" s="24">
        <f>+G1758</f>
        <v>120619000</v>
      </c>
      <c r="H1762" s="24">
        <v>0</v>
      </c>
      <c r="I1762" s="24">
        <f>G1762+H1762</f>
        <v>120619000</v>
      </c>
    </row>
    <row r="1763" spans="4:9" ht="13.5" thickBot="1">
      <c r="D1763" s="5" t="s">
        <v>979</v>
      </c>
      <c r="E1763" s="55" t="s">
        <v>374</v>
      </c>
      <c r="F1763" s="55"/>
      <c r="H1763" s="24">
        <v>881572.89</v>
      </c>
      <c r="I1763" s="24">
        <f>G1763+H1763</f>
        <v>881572.89</v>
      </c>
    </row>
    <row r="1764" spans="5:9" ht="13.5" thickBot="1">
      <c r="E1764" s="56" t="s">
        <v>345</v>
      </c>
      <c r="F1764" s="56"/>
      <c r="G1764" s="26">
        <f>SUM(G1762:G1763)</f>
        <v>120619000</v>
      </c>
      <c r="H1764" s="26">
        <f>SUM(H1762:H1763)</f>
        <v>881572.89</v>
      </c>
      <c r="I1764" s="26">
        <f>G1764+H1764</f>
        <v>121500572.89</v>
      </c>
    </row>
    <row r="1765" spans="5:9" ht="12.75">
      <c r="E1765" s="12"/>
      <c r="F1765" s="12"/>
      <c r="G1765" s="29"/>
      <c r="H1765" s="29"/>
      <c r="I1765" s="29"/>
    </row>
    <row r="1766" spans="1:6" ht="12.75">
      <c r="A1766" s="8" t="s">
        <v>766</v>
      </c>
      <c r="B1766" s="9" t="s">
        <v>253</v>
      </c>
      <c r="C1766" s="8"/>
      <c r="D1766" s="9"/>
      <c r="E1766" s="57" t="s">
        <v>259</v>
      </c>
      <c r="F1766" s="57"/>
    </row>
    <row r="1767" spans="1:6" ht="12.75">
      <c r="A1767" s="8"/>
      <c r="B1767" s="9"/>
      <c r="C1767" s="8" t="s">
        <v>835</v>
      </c>
      <c r="D1767" s="9"/>
      <c r="E1767" s="57" t="s">
        <v>836</v>
      </c>
      <c r="F1767" s="57"/>
    </row>
    <row r="1768" spans="4:9" ht="12.75">
      <c r="D1768" s="5" t="s">
        <v>911</v>
      </c>
      <c r="E1768" s="55" t="s">
        <v>199</v>
      </c>
      <c r="F1768" s="55"/>
      <c r="G1768" s="24">
        <v>12077000</v>
      </c>
      <c r="H1768" s="24">
        <v>0</v>
      </c>
      <c r="I1768" s="24">
        <f aca="true" t="shared" si="81" ref="I1768:I1787">G1768+H1768</f>
        <v>12077000</v>
      </c>
    </row>
    <row r="1769" spans="4:9" ht="12.75">
      <c r="D1769" s="5" t="s">
        <v>912</v>
      </c>
      <c r="E1769" s="55" t="s">
        <v>877</v>
      </c>
      <c r="F1769" s="55"/>
      <c r="G1769" s="24">
        <v>2162000</v>
      </c>
      <c r="H1769" s="24">
        <v>0</v>
      </c>
      <c r="I1769" s="24">
        <f t="shared" si="81"/>
        <v>2162000</v>
      </c>
    </row>
    <row r="1770" spans="4:9" ht="12.75">
      <c r="D1770" s="5" t="s">
        <v>918</v>
      </c>
      <c r="E1770" s="55" t="s">
        <v>878</v>
      </c>
      <c r="F1770" s="55"/>
      <c r="G1770" s="24">
        <f>17000+10000</f>
        <v>27000</v>
      </c>
      <c r="H1770" s="24">
        <v>504000</v>
      </c>
      <c r="I1770" s="24">
        <f t="shared" si="81"/>
        <v>531000</v>
      </c>
    </row>
    <row r="1771" spans="4:9" ht="12.75">
      <c r="D1771" s="5" t="s">
        <v>921</v>
      </c>
      <c r="E1771" s="55" t="s">
        <v>880</v>
      </c>
      <c r="F1771" s="55"/>
      <c r="G1771" s="24">
        <v>138000</v>
      </c>
      <c r="H1771" s="24">
        <v>1162000</v>
      </c>
      <c r="I1771" s="24">
        <f t="shared" si="81"/>
        <v>1300000</v>
      </c>
    </row>
    <row r="1772" spans="4:9" ht="12.75">
      <c r="D1772" s="5" t="s">
        <v>919</v>
      </c>
      <c r="E1772" s="55" t="s">
        <v>200</v>
      </c>
      <c r="F1772" s="55"/>
      <c r="G1772" s="24">
        <f>67000+330000</f>
        <v>397000</v>
      </c>
      <c r="H1772" s="24">
        <v>250000</v>
      </c>
      <c r="I1772" s="24">
        <f t="shared" si="81"/>
        <v>647000</v>
      </c>
    </row>
    <row r="1773" spans="4:9" ht="12.75">
      <c r="D1773" s="5" t="s">
        <v>922</v>
      </c>
      <c r="E1773" s="55" t="s">
        <v>201</v>
      </c>
      <c r="F1773" s="55"/>
      <c r="H1773" s="24">
        <v>252000</v>
      </c>
      <c r="I1773" s="24">
        <f t="shared" si="81"/>
        <v>252000</v>
      </c>
    </row>
    <row r="1774" spans="4:9" ht="12.75">
      <c r="D1774" s="5" t="s">
        <v>913</v>
      </c>
      <c r="E1774" s="55" t="s">
        <v>881</v>
      </c>
      <c r="F1774" s="55"/>
      <c r="G1774" s="24">
        <f>17311000-680000</f>
        <v>16631000</v>
      </c>
      <c r="H1774" s="24">
        <v>109685000</v>
      </c>
      <c r="I1774" s="24">
        <f t="shared" si="81"/>
        <v>126316000</v>
      </c>
    </row>
    <row r="1775" spans="4:9" ht="12.75">
      <c r="D1775" s="5" t="s">
        <v>915</v>
      </c>
      <c r="E1775" s="55" t="s">
        <v>879</v>
      </c>
      <c r="F1775" s="55"/>
      <c r="G1775" s="24">
        <f>65000+340000</f>
        <v>405000</v>
      </c>
      <c r="H1775" s="24">
        <v>3365000</v>
      </c>
      <c r="I1775" s="24">
        <f t="shared" si="81"/>
        <v>3770000</v>
      </c>
    </row>
    <row r="1776" spans="4:9" ht="12.75">
      <c r="D1776" s="5" t="s">
        <v>916</v>
      </c>
      <c r="E1776" s="55" t="s">
        <v>882</v>
      </c>
      <c r="F1776" s="55"/>
      <c r="G1776" s="24">
        <v>180000</v>
      </c>
      <c r="H1776" s="24">
        <v>5367000</v>
      </c>
      <c r="I1776" s="24">
        <f t="shared" si="81"/>
        <v>5547000</v>
      </c>
    </row>
    <row r="1777" spans="4:9" ht="12.75">
      <c r="D1777" s="5" t="s">
        <v>923</v>
      </c>
      <c r="E1777" s="55" t="s">
        <v>883</v>
      </c>
      <c r="F1777" s="55"/>
      <c r="G1777" s="24">
        <v>300000</v>
      </c>
      <c r="H1777" s="24">
        <v>20774000</v>
      </c>
      <c r="I1777" s="24">
        <f t="shared" si="81"/>
        <v>21074000</v>
      </c>
    </row>
    <row r="1778" spans="4:9" ht="12.75">
      <c r="D1778" s="5" t="s">
        <v>924</v>
      </c>
      <c r="E1778" s="55" t="s">
        <v>203</v>
      </c>
      <c r="F1778" s="55"/>
      <c r="G1778" s="24">
        <v>4427000</v>
      </c>
      <c r="H1778" s="24">
        <v>43686000</v>
      </c>
      <c r="I1778" s="24">
        <f t="shared" si="81"/>
        <v>48113000</v>
      </c>
    </row>
    <row r="1779" spans="4:9" ht="12.75">
      <c r="D1779" s="5" t="s">
        <v>925</v>
      </c>
      <c r="E1779" s="55" t="s">
        <v>884</v>
      </c>
      <c r="F1779" s="55"/>
      <c r="H1779" s="24">
        <v>2648000</v>
      </c>
      <c r="I1779" s="24">
        <f t="shared" si="81"/>
        <v>2648000</v>
      </c>
    </row>
    <row r="1780" spans="4:9" ht="12.75">
      <c r="D1780" s="5" t="s">
        <v>746</v>
      </c>
      <c r="E1780" s="55" t="s">
        <v>206</v>
      </c>
      <c r="F1780" s="55"/>
      <c r="H1780" s="24">
        <v>34337000</v>
      </c>
      <c r="I1780" s="24">
        <f t="shared" si="81"/>
        <v>34337000</v>
      </c>
    </row>
    <row r="1781" spans="4:9" ht="12.75">
      <c r="D1781" s="5" t="s">
        <v>754</v>
      </c>
      <c r="E1781" s="55" t="s">
        <v>212</v>
      </c>
      <c r="F1781" s="55"/>
      <c r="H1781" s="24">
        <v>53000</v>
      </c>
      <c r="I1781" s="24">
        <f t="shared" si="81"/>
        <v>53000</v>
      </c>
    </row>
    <row r="1782" spans="4:9" ht="12.75">
      <c r="D1782" s="5" t="s">
        <v>755</v>
      </c>
      <c r="E1782" s="55" t="s">
        <v>213</v>
      </c>
      <c r="F1782" s="55"/>
      <c r="H1782" s="24">
        <v>49000</v>
      </c>
      <c r="I1782" s="24">
        <f t="shared" si="81"/>
        <v>49000</v>
      </c>
    </row>
    <row r="1783" spans="4:9" ht="12.75">
      <c r="D1783" s="5" t="s">
        <v>926</v>
      </c>
      <c r="E1783" s="55" t="s">
        <v>885</v>
      </c>
      <c r="F1783" s="55"/>
      <c r="H1783" s="24">
        <v>6046000</v>
      </c>
      <c r="I1783" s="24">
        <f t="shared" si="81"/>
        <v>6046000</v>
      </c>
    </row>
    <row r="1784" spans="4:9" ht="12.75">
      <c r="D1784" s="5" t="s">
        <v>927</v>
      </c>
      <c r="E1784" s="55" t="s">
        <v>886</v>
      </c>
      <c r="F1784" s="55"/>
      <c r="G1784" s="24">
        <v>133000</v>
      </c>
      <c r="H1784" s="24">
        <v>750000</v>
      </c>
      <c r="I1784" s="24">
        <f t="shared" si="81"/>
        <v>883000</v>
      </c>
    </row>
    <row r="1785" spans="4:9" ht="12.75">
      <c r="D1785" s="5" t="s">
        <v>214</v>
      </c>
      <c r="E1785" s="55" t="s">
        <v>215</v>
      </c>
      <c r="F1785" s="55"/>
      <c r="H1785" s="24">
        <v>49000</v>
      </c>
      <c r="I1785" s="24">
        <f t="shared" si="81"/>
        <v>49000</v>
      </c>
    </row>
    <row r="1786" spans="4:9" ht="12.75">
      <c r="D1786" s="5" t="s">
        <v>933</v>
      </c>
      <c r="E1786" s="55" t="s">
        <v>898</v>
      </c>
      <c r="F1786" s="55"/>
      <c r="G1786" s="24">
        <v>17854000</v>
      </c>
      <c r="H1786" s="24">
        <v>1316700000</v>
      </c>
      <c r="I1786" s="24">
        <f t="shared" si="81"/>
        <v>1334554000</v>
      </c>
    </row>
    <row r="1787" spans="4:9" ht="13.5" thickBot="1">
      <c r="D1787" s="5" t="s">
        <v>937</v>
      </c>
      <c r="E1787" s="55" t="s">
        <v>892</v>
      </c>
      <c r="F1787" s="55"/>
      <c r="G1787" s="24">
        <v>0</v>
      </c>
      <c r="H1787" s="24">
        <v>122130000</v>
      </c>
      <c r="I1787" s="24">
        <f t="shared" si="81"/>
        <v>122130000</v>
      </c>
    </row>
    <row r="1788" spans="5:9" ht="12.75">
      <c r="E1788" s="58" t="s">
        <v>373</v>
      </c>
      <c r="F1788" s="58"/>
      <c r="G1788" s="25"/>
      <c r="H1788" s="25"/>
      <c r="I1788" s="25"/>
    </row>
    <row r="1789" spans="4:9" ht="12.75">
      <c r="D1789" s="5" t="s">
        <v>772</v>
      </c>
      <c r="E1789" s="55" t="s">
        <v>773</v>
      </c>
      <c r="F1789" s="55"/>
      <c r="G1789" s="24">
        <f>SUM(G1768:G1788)</f>
        <v>54731000</v>
      </c>
      <c r="I1789" s="24">
        <f>G1789+H1789</f>
        <v>54731000</v>
      </c>
    </row>
    <row r="1790" spans="4:9" ht="13.5" thickBot="1">
      <c r="D1790" s="5" t="s">
        <v>784</v>
      </c>
      <c r="E1790" s="55" t="s">
        <v>785</v>
      </c>
      <c r="F1790" s="55"/>
      <c r="H1790" s="24">
        <f>SUM(H1768:H1789)</f>
        <v>1667807000</v>
      </c>
      <c r="I1790" s="24">
        <f>G1790+H1790</f>
        <v>1667807000</v>
      </c>
    </row>
    <row r="1791" spans="5:9" ht="13.5" thickBot="1">
      <c r="E1791" s="56" t="s">
        <v>382</v>
      </c>
      <c r="F1791" s="56"/>
      <c r="G1791" s="26">
        <f>SUM(G1789:G1790)</f>
        <v>54731000</v>
      </c>
      <c r="H1791" s="26">
        <f>SUM(H1789:H1790)</f>
        <v>1667807000</v>
      </c>
      <c r="I1791" s="26">
        <f>G1791+H1791</f>
        <v>1722538000</v>
      </c>
    </row>
    <row r="1792" spans="5:9" ht="12.75">
      <c r="E1792" s="58" t="s">
        <v>99</v>
      </c>
      <c r="F1792" s="58"/>
      <c r="G1792" s="25"/>
      <c r="H1792" s="25"/>
      <c r="I1792" s="25"/>
    </row>
    <row r="1793" spans="4:9" ht="12.75">
      <c r="D1793" s="5" t="s">
        <v>772</v>
      </c>
      <c r="E1793" s="55" t="s">
        <v>773</v>
      </c>
      <c r="F1793" s="55"/>
      <c r="G1793" s="24">
        <f>+G1789</f>
        <v>54731000</v>
      </c>
      <c r="H1793" s="24">
        <v>0</v>
      </c>
      <c r="I1793" s="24">
        <f>G1793+H1793</f>
        <v>54731000</v>
      </c>
    </row>
    <row r="1794" spans="4:9" ht="13.5" thickBot="1">
      <c r="D1794" s="5" t="s">
        <v>784</v>
      </c>
      <c r="E1794" s="55" t="s">
        <v>785</v>
      </c>
      <c r="F1794" s="55"/>
      <c r="G1794" s="24">
        <v>0</v>
      </c>
      <c r="H1794" s="24">
        <f>+H1790</f>
        <v>1667807000</v>
      </c>
      <c r="I1794" s="24">
        <f>G1794+H1794</f>
        <v>1667807000</v>
      </c>
    </row>
    <row r="1795" spans="5:9" ht="13.5" thickBot="1">
      <c r="E1795" s="56" t="s">
        <v>100</v>
      </c>
      <c r="F1795" s="56"/>
      <c r="G1795" s="26">
        <f>SUM(G1793:G1794)</f>
        <v>54731000</v>
      </c>
      <c r="H1795" s="26">
        <f>SUM(H1793:H1794)</f>
        <v>1667807000</v>
      </c>
      <c r="I1795" s="26">
        <f>G1795+H1795</f>
        <v>1722538000</v>
      </c>
    </row>
    <row r="1796" spans="5:9" ht="12.75">
      <c r="E1796" s="58" t="s">
        <v>101</v>
      </c>
      <c r="F1796" s="58"/>
      <c r="G1796" s="25"/>
      <c r="H1796" s="25"/>
      <c r="I1796" s="25"/>
    </row>
    <row r="1797" spans="4:9" ht="12.75">
      <c r="D1797" s="5" t="s">
        <v>772</v>
      </c>
      <c r="E1797" s="55" t="s">
        <v>773</v>
      </c>
      <c r="F1797" s="55"/>
      <c r="G1797" s="24">
        <f>+G1793+G1762</f>
        <v>175350000</v>
      </c>
      <c r="H1797" s="24">
        <v>0</v>
      </c>
      <c r="I1797" s="24">
        <f>G1797+H1797</f>
        <v>175350000</v>
      </c>
    </row>
    <row r="1798" spans="4:9" ht="12.75">
      <c r="D1798" s="5" t="s">
        <v>784</v>
      </c>
      <c r="E1798" s="55" t="s">
        <v>785</v>
      </c>
      <c r="F1798" s="55"/>
      <c r="G1798" s="24">
        <v>0</v>
      </c>
      <c r="H1798" s="24">
        <f>+H1794</f>
        <v>1667807000</v>
      </c>
      <c r="I1798" s="24">
        <f>G1798+H1798</f>
        <v>1667807000</v>
      </c>
    </row>
    <row r="1799" spans="4:9" ht="13.5" thickBot="1">
      <c r="D1799" s="5" t="s">
        <v>979</v>
      </c>
      <c r="E1799" s="55" t="s">
        <v>374</v>
      </c>
      <c r="F1799" s="55"/>
      <c r="G1799" s="24">
        <v>0</v>
      </c>
      <c r="H1799" s="24">
        <f>+H1763</f>
        <v>881572.89</v>
      </c>
      <c r="I1799" s="24">
        <f>G1799+H1799</f>
        <v>881572.89</v>
      </c>
    </row>
    <row r="1800" spans="5:9" ht="13.5" thickBot="1">
      <c r="E1800" s="56" t="s">
        <v>102</v>
      </c>
      <c r="F1800" s="56"/>
      <c r="G1800" s="26">
        <f>SUM(G1797:G1799)</f>
        <v>175350000</v>
      </c>
      <c r="H1800" s="26">
        <f>SUM(H1797:H1799)</f>
        <v>1668688572.89</v>
      </c>
      <c r="I1800" s="26">
        <f>G1800+H1800</f>
        <v>1844038572.89</v>
      </c>
    </row>
    <row r="1801" spans="5:9" ht="9.75" customHeight="1">
      <c r="E1801" s="12"/>
      <c r="F1801" s="12"/>
      <c r="G1801" s="29"/>
      <c r="H1801" s="29"/>
      <c r="I1801" s="29"/>
    </row>
    <row r="1802" spans="1:6" ht="12.75">
      <c r="A1802" s="8">
        <v>21</v>
      </c>
      <c r="B1802" s="9" t="s">
        <v>766</v>
      </c>
      <c r="C1802" s="8"/>
      <c r="D1802" s="9"/>
      <c r="E1802" s="57" t="s">
        <v>116</v>
      </c>
      <c r="F1802" s="57"/>
    </row>
    <row r="1803" spans="1:6" ht="12.75">
      <c r="A1803" s="8"/>
      <c r="B1803" s="9"/>
      <c r="C1803" s="8" t="s">
        <v>837</v>
      </c>
      <c r="D1803" s="9"/>
      <c r="E1803" s="57" t="s">
        <v>838</v>
      </c>
      <c r="F1803" s="57"/>
    </row>
    <row r="1804" spans="4:9" ht="12.75">
      <c r="D1804" s="5" t="s">
        <v>913</v>
      </c>
      <c r="E1804" s="55" t="s">
        <v>881</v>
      </c>
      <c r="F1804" s="55"/>
      <c r="G1804" s="24">
        <v>8698000</v>
      </c>
      <c r="H1804" s="24">
        <v>0</v>
      </c>
      <c r="I1804" s="24">
        <f aca="true" t="shared" si="82" ref="I1804:I1810">G1804+H1804</f>
        <v>8698000</v>
      </c>
    </row>
    <row r="1805" spans="4:9" ht="12.75">
      <c r="D1805" s="5" t="s">
        <v>916</v>
      </c>
      <c r="E1805" s="55" t="s">
        <v>882</v>
      </c>
      <c r="F1805" s="55"/>
      <c r="G1805" s="24">
        <v>947000</v>
      </c>
      <c r="H1805" s="24">
        <v>0</v>
      </c>
      <c r="I1805" s="24">
        <f t="shared" si="82"/>
        <v>947000</v>
      </c>
    </row>
    <row r="1806" spans="4:9" ht="12.75">
      <c r="D1806" s="5" t="s">
        <v>923</v>
      </c>
      <c r="E1806" s="55" t="s">
        <v>883</v>
      </c>
      <c r="F1806" s="55"/>
      <c r="G1806" s="24">
        <v>1063000</v>
      </c>
      <c r="H1806" s="24">
        <v>0</v>
      </c>
      <c r="I1806" s="24">
        <f t="shared" si="82"/>
        <v>1063000</v>
      </c>
    </row>
    <row r="1807" spans="4:9" ht="12.75">
      <c r="D1807" s="5" t="s">
        <v>924</v>
      </c>
      <c r="E1807" s="55" t="s">
        <v>203</v>
      </c>
      <c r="F1807" s="55"/>
      <c r="G1807" s="24">
        <v>3586000</v>
      </c>
      <c r="H1807" s="24">
        <v>0</v>
      </c>
      <c r="I1807" s="24">
        <f t="shared" si="82"/>
        <v>3586000</v>
      </c>
    </row>
    <row r="1808" spans="4:9" ht="12.75">
      <c r="D1808" s="5" t="s">
        <v>750</v>
      </c>
      <c r="E1808" s="55" t="s">
        <v>887</v>
      </c>
      <c r="F1808" s="55"/>
      <c r="G1808" s="24">
        <v>1417988000</v>
      </c>
      <c r="H1808" s="24">
        <v>0</v>
      </c>
      <c r="I1808" s="24">
        <f t="shared" si="82"/>
        <v>1417988000</v>
      </c>
    </row>
    <row r="1809" spans="4:9" ht="12.75">
      <c r="D1809" s="5" t="s">
        <v>753</v>
      </c>
      <c r="E1809" s="55" t="s">
        <v>211</v>
      </c>
      <c r="F1809" s="55"/>
      <c r="G1809" s="24">
        <v>9443000</v>
      </c>
      <c r="H1809" s="24">
        <v>0</v>
      </c>
      <c r="I1809" s="24">
        <f t="shared" si="82"/>
        <v>9443000</v>
      </c>
    </row>
    <row r="1810" spans="4:9" ht="13.5" thickBot="1">
      <c r="D1810" s="5" t="s">
        <v>926</v>
      </c>
      <c r="E1810" s="55" t="s">
        <v>885</v>
      </c>
      <c r="F1810" s="55"/>
      <c r="G1810" s="24">
        <v>10000</v>
      </c>
      <c r="H1810" s="24">
        <v>0</v>
      </c>
      <c r="I1810" s="24">
        <f t="shared" si="82"/>
        <v>10000</v>
      </c>
    </row>
    <row r="1811" spans="5:9" ht="12.75">
      <c r="E1811" s="58" t="s">
        <v>49</v>
      </c>
      <c r="F1811" s="58"/>
      <c r="G1811" s="25"/>
      <c r="H1811" s="25"/>
      <c r="I1811" s="25"/>
    </row>
    <row r="1812" spans="4:9" ht="13.5" thickBot="1">
      <c r="D1812" s="5" t="s">
        <v>772</v>
      </c>
      <c r="E1812" s="55" t="s">
        <v>773</v>
      </c>
      <c r="F1812" s="55"/>
      <c r="G1812" s="24">
        <f>SUM(G1804:G1811)</f>
        <v>1441735000</v>
      </c>
      <c r="I1812" s="24">
        <f>G1812+H1812</f>
        <v>1441735000</v>
      </c>
    </row>
    <row r="1813" spans="5:9" ht="13.5" thickBot="1">
      <c r="E1813" s="56" t="s">
        <v>50</v>
      </c>
      <c r="F1813" s="56"/>
      <c r="G1813" s="26">
        <f>SUM(G1812:G1812)</f>
        <v>1441735000</v>
      </c>
      <c r="H1813" s="26">
        <f>SUM(H1812:H1812)</f>
        <v>0</v>
      </c>
      <c r="I1813" s="26">
        <f>G1813+H1813</f>
        <v>1441735000</v>
      </c>
    </row>
    <row r="1814" ht="9" customHeight="1"/>
    <row r="1815" spans="1:6" ht="12.75">
      <c r="A1815" s="8"/>
      <c r="B1815" s="9"/>
      <c r="C1815" s="8" t="s">
        <v>839</v>
      </c>
      <c r="D1815" s="9"/>
      <c r="E1815" s="57" t="s">
        <v>840</v>
      </c>
      <c r="F1815" s="57"/>
    </row>
    <row r="1816" spans="4:9" ht="12.75">
      <c r="D1816" s="5" t="s">
        <v>913</v>
      </c>
      <c r="E1816" s="55" t="s">
        <v>881</v>
      </c>
      <c r="F1816" s="55"/>
      <c r="G1816" s="24">
        <v>83000</v>
      </c>
      <c r="H1816" s="24">
        <v>0</v>
      </c>
      <c r="I1816" s="24">
        <f>G1816+H1816</f>
        <v>83000</v>
      </c>
    </row>
    <row r="1817" spans="4:9" ht="12.75">
      <c r="D1817" s="5" t="s">
        <v>916</v>
      </c>
      <c r="E1817" s="55" t="s">
        <v>882</v>
      </c>
      <c r="F1817" s="55"/>
      <c r="G1817" s="24">
        <v>5893000</v>
      </c>
      <c r="H1817" s="24">
        <v>0</v>
      </c>
      <c r="I1817" s="24">
        <f>G1817+H1817</f>
        <v>5893000</v>
      </c>
    </row>
    <row r="1818" spans="4:9" ht="12.75">
      <c r="D1818" s="5" t="s">
        <v>750</v>
      </c>
      <c r="E1818" s="55" t="s">
        <v>887</v>
      </c>
      <c r="F1818" s="55"/>
      <c r="G1818" s="24">
        <v>2264228000</v>
      </c>
      <c r="H1818" s="24">
        <v>0</v>
      </c>
      <c r="I1818" s="24">
        <f>G1818+H1818</f>
        <v>2264228000</v>
      </c>
    </row>
    <row r="1819" spans="4:9" ht="13.5" thickBot="1">
      <c r="D1819" s="5" t="s">
        <v>753</v>
      </c>
      <c r="E1819" s="55" t="s">
        <v>211</v>
      </c>
      <c r="F1819" s="55"/>
      <c r="G1819" s="24">
        <v>1865000</v>
      </c>
      <c r="H1819" s="24">
        <v>6867500</v>
      </c>
      <c r="I1819" s="24">
        <f>G1819+H1819</f>
        <v>8732500</v>
      </c>
    </row>
    <row r="1820" spans="5:9" ht="12.75">
      <c r="E1820" s="58" t="s">
        <v>51</v>
      </c>
      <c r="F1820" s="58"/>
      <c r="G1820" s="25"/>
      <c r="H1820" s="25"/>
      <c r="I1820" s="25"/>
    </row>
    <row r="1821" spans="4:9" ht="12.75">
      <c r="D1821" s="5" t="s">
        <v>772</v>
      </c>
      <c r="E1821" s="55" t="s">
        <v>773</v>
      </c>
      <c r="F1821" s="55"/>
      <c r="G1821" s="24">
        <f>SUM(G1816:G1820)</f>
        <v>2272069000</v>
      </c>
      <c r="I1821" s="24">
        <f>G1821+H1821</f>
        <v>2272069000</v>
      </c>
    </row>
    <row r="1822" spans="4:9" ht="12.75">
      <c r="D1822" s="5" t="s">
        <v>784</v>
      </c>
      <c r="E1822" s="55" t="s">
        <v>785</v>
      </c>
      <c r="F1822" s="55"/>
      <c r="H1822" s="24">
        <v>5000000</v>
      </c>
      <c r="I1822" s="24">
        <f>G1822+H1822</f>
        <v>5000000</v>
      </c>
    </row>
    <row r="1823" spans="4:9" ht="13.5" thickBot="1">
      <c r="D1823" s="5" t="s">
        <v>825</v>
      </c>
      <c r="E1823" s="54" t="s">
        <v>905</v>
      </c>
      <c r="F1823" s="54"/>
      <c r="H1823" s="24">
        <v>1867500</v>
      </c>
      <c r="I1823" s="24">
        <f>G1823+H1823</f>
        <v>1867500</v>
      </c>
    </row>
    <row r="1824" spans="5:9" ht="13.5" thickBot="1">
      <c r="E1824" s="56" t="s">
        <v>52</v>
      </c>
      <c r="F1824" s="56"/>
      <c r="G1824" s="26">
        <f>SUM(G1821:G1822)</f>
        <v>2272069000</v>
      </c>
      <c r="H1824" s="26">
        <f>SUM(H1822:H1823)</f>
        <v>6867500</v>
      </c>
      <c r="I1824" s="26">
        <f>G1824+H1824</f>
        <v>2278936500</v>
      </c>
    </row>
    <row r="1825" ht="7.5" customHeight="1"/>
    <row r="1826" spans="1:6" ht="27" customHeight="1">
      <c r="A1826" s="8"/>
      <c r="B1826" s="9"/>
      <c r="C1826" s="8" t="s">
        <v>841</v>
      </c>
      <c r="D1826" s="9"/>
      <c r="E1826" s="57" t="s">
        <v>842</v>
      </c>
      <c r="F1826" s="57"/>
    </row>
    <row r="1827" spans="4:9" ht="12.75">
      <c r="D1827" s="5" t="s">
        <v>911</v>
      </c>
      <c r="E1827" s="55" t="s">
        <v>199</v>
      </c>
      <c r="F1827" s="55"/>
      <c r="G1827" s="24">
        <v>439518000</v>
      </c>
      <c r="H1827" s="24">
        <v>0</v>
      </c>
      <c r="I1827" s="24">
        <f aca="true" t="shared" si="83" ref="I1827:I1834">G1827+H1827</f>
        <v>439518000</v>
      </c>
    </row>
    <row r="1828" spans="4:9" ht="12.75">
      <c r="D1828" s="5" t="s">
        <v>912</v>
      </c>
      <c r="E1828" s="55" t="s">
        <v>877</v>
      </c>
      <c r="F1828" s="55"/>
      <c r="G1828" s="24">
        <v>78611000</v>
      </c>
      <c r="H1828" s="24">
        <v>0</v>
      </c>
      <c r="I1828" s="24">
        <f t="shared" si="83"/>
        <v>78611000</v>
      </c>
    </row>
    <row r="1829" spans="4:9" ht="12.75">
      <c r="D1829" s="5" t="s">
        <v>921</v>
      </c>
      <c r="E1829" s="55" t="s">
        <v>880</v>
      </c>
      <c r="F1829" s="55"/>
      <c r="G1829" s="24">
        <v>325000</v>
      </c>
      <c r="H1829" s="24">
        <v>0</v>
      </c>
      <c r="I1829" s="24">
        <f t="shared" si="83"/>
        <v>325000</v>
      </c>
    </row>
    <row r="1830" spans="4:9" ht="12.75">
      <c r="D1830" s="5" t="s">
        <v>913</v>
      </c>
      <c r="E1830" s="55" t="s">
        <v>881</v>
      </c>
      <c r="F1830" s="55"/>
      <c r="G1830" s="24">
        <v>6142000</v>
      </c>
      <c r="H1830" s="24">
        <v>0</v>
      </c>
      <c r="I1830" s="24">
        <f t="shared" si="83"/>
        <v>6142000</v>
      </c>
    </row>
    <row r="1831" spans="4:9" ht="12.75">
      <c r="D1831" s="5" t="s">
        <v>916</v>
      </c>
      <c r="E1831" s="55" t="s">
        <v>882</v>
      </c>
      <c r="F1831" s="55"/>
      <c r="G1831" s="24">
        <v>61647000</v>
      </c>
      <c r="H1831" s="24">
        <v>7325507.85</v>
      </c>
      <c r="I1831" s="24">
        <f t="shared" si="83"/>
        <v>68972507.85</v>
      </c>
    </row>
    <row r="1832" spans="4:9" ht="12.75">
      <c r="D1832" s="5" t="s">
        <v>930</v>
      </c>
      <c r="E1832" s="55" t="s">
        <v>209</v>
      </c>
      <c r="F1832" s="55"/>
      <c r="G1832" s="24">
        <v>4180000</v>
      </c>
      <c r="H1832" s="24">
        <v>0</v>
      </c>
      <c r="I1832" s="24">
        <f t="shared" si="83"/>
        <v>4180000</v>
      </c>
    </row>
    <row r="1833" spans="4:9" ht="12.75">
      <c r="D1833" s="5" t="s">
        <v>750</v>
      </c>
      <c r="E1833" s="62" t="s">
        <v>887</v>
      </c>
      <c r="F1833" s="62"/>
      <c r="G1833" s="24">
        <v>1137549000</v>
      </c>
      <c r="H1833" s="24">
        <v>5000000</v>
      </c>
      <c r="I1833" s="24">
        <f t="shared" si="83"/>
        <v>1142549000</v>
      </c>
    </row>
    <row r="1834" spans="4:9" ht="13.5" thickBot="1">
      <c r="D1834" s="5" t="s">
        <v>926</v>
      </c>
      <c r="E1834" s="55" t="s">
        <v>885</v>
      </c>
      <c r="F1834" s="55"/>
      <c r="G1834" s="24">
        <v>66704000</v>
      </c>
      <c r="H1834" s="24">
        <v>62001463.099999994</v>
      </c>
      <c r="I1834" s="24">
        <f t="shared" si="83"/>
        <v>128705463.1</v>
      </c>
    </row>
    <row r="1835" spans="5:9" ht="12.75">
      <c r="E1835" s="58" t="s">
        <v>53</v>
      </c>
      <c r="F1835" s="58"/>
      <c r="G1835" s="25"/>
      <c r="H1835" s="25"/>
      <c r="I1835" s="25"/>
    </row>
    <row r="1836" spans="4:9" ht="12.75">
      <c r="D1836" s="5" t="s">
        <v>772</v>
      </c>
      <c r="E1836" s="55" t="s">
        <v>773</v>
      </c>
      <c r="F1836" s="55"/>
      <c r="G1836" s="24">
        <f>SUM(G1827:G1835)</f>
        <v>1794676000</v>
      </c>
      <c r="I1836" s="24">
        <f>G1836+H1836</f>
        <v>1794676000</v>
      </c>
    </row>
    <row r="1837" spans="4:9" ht="12.75">
      <c r="D1837" s="5" t="s">
        <v>778</v>
      </c>
      <c r="E1837" s="55" t="s">
        <v>779</v>
      </c>
      <c r="F1837" s="55"/>
      <c r="H1837" s="24">
        <v>7325507.85</v>
      </c>
      <c r="I1837" s="24">
        <f>G1837+H1837</f>
        <v>7325507.85</v>
      </c>
    </row>
    <row r="1838" spans="4:9" ht="12.75">
      <c r="D1838" s="5" t="s">
        <v>780</v>
      </c>
      <c r="E1838" s="55" t="s">
        <v>781</v>
      </c>
      <c r="F1838" s="55"/>
      <c r="H1838" s="24">
        <v>5000000</v>
      </c>
      <c r="I1838" s="24">
        <f>G1838+H1838</f>
        <v>5000000</v>
      </c>
    </row>
    <row r="1839" spans="4:9" ht="13.5" thickBot="1">
      <c r="D1839" s="5" t="s">
        <v>830</v>
      </c>
      <c r="E1839" s="55" t="s">
        <v>906</v>
      </c>
      <c r="F1839" s="55"/>
      <c r="H1839" s="24">
        <v>62001463.099999994</v>
      </c>
      <c r="I1839" s="24">
        <f>G1839+H1839</f>
        <v>62001463.099999994</v>
      </c>
    </row>
    <row r="1840" spans="5:9" ht="13.5" thickBot="1">
      <c r="E1840" s="56" t="s">
        <v>54</v>
      </c>
      <c r="F1840" s="56"/>
      <c r="G1840" s="26">
        <f>SUM(G1836:G1839)</f>
        <v>1794676000</v>
      </c>
      <c r="H1840" s="26">
        <f>SUM(H1836:H1839)</f>
        <v>74326970.94999999</v>
      </c>
      <c r="I1840" s="26">
        <f>G1840+H1840</f>
        <v>1869002970.95</v>
      </c>
    </row>
    <row r="1841" ht="7.5" customHeight="1"/>
    <row r="1842" spans="1:6" ht="12.75">
      <c r="A1842" s="8"/>
      <c r="B1842" s="9"/>
      <c r="C1842" s="8" t="s">
        <v>843</v>
      </c>
      <c r="D1842" s="9"/>
      <c r="E1842" s="57" t="s">
        <v>844</v>
      </c>
      <c r="F1842" s="57"/>
    </row>
    <row r="1843" spans="4:9" ht="12.75">
      <c r="D1843" s="5" t="s">
        <v>911</v>
      </c>
      <c r="E1843" s="55" t="s">
        <v>199</v>
      </c>
      <c r="F1843" s="55"/>
      <c r="G1843" s="24">
        <v>12232000</v>
      </c>
      <c r="H1843" s="24">
        <v>0</v>
      </c>
      <c r="I1843" s="24">
        <f aca="true" t="shared" si="84" ref="I1843:I1852">G1843+H1843</f>
        <v>12232000</v>
      </c>
    </row>
    <row r="1844" spans="4:9" ht="12.75">
      <c r="D1844" s="5" t="s">
        <v>912</v>
      </c>
      <c r="E1844" s="55" t="s">
        <v>877</v>
      </c>
      <c r="F1844" s="55"/>
      <c r="G1844" s="24">
        <v>2281000</v>
      </c>
      <c r="H1844" s="24">
        <v>0</v>
      </c>
      <c r="I1844" s="24">
        <f t="shared" si="84"/>
        <v>2281000</v>
      </c>
    </row>
    <row r="1845" spans="4:9" ht="12.75">
      <c r="D1845" s="5" t="s">
        <v>921</v>
      </c>
      <c r="E1845" s="55" t="s">
        <v>880</v>
      </c>
      <c r="F1845" s="55"/>
      <c r="G1845" s="24">
        <v>506000</v>
      </c>
      <c r="H1845" s="24">
        <v>0</v>
      </c>
      <c r="I1845" s="24">
        <f t="shared" si="84"/>
        <v>506000</v>
      </c>
    </row>
    <row r="1846" spans="4:9" ht="12.75">
      <c r="D1846" s="5" t="s">
        <v>919</v>
      </c>
      <c r="E1846" s="55" t="s">
        <v>200</v>
      </c>
      <c r="F1846" s="55"/>
      <c r="G1846" s="24">
        <v>125000</v>
      </c>
      <c r="H1846" s="24">
        <v>0</v>
      </c>
      <c r="I1846" s="24">
        <f t="shared" si="84"/>
        <v>125000</v>
      </c>
    </row>
    <row r="1847" spans="4:9" ht="12.75">
      <c r="D1847" s="5" t="s">
        <v>913</v>
      </c>
      <c r="E1847" s="55" t="s">
        <v>881</v>
      </c>
      <c r="F1847" s="55"/>
      <c r="G1847" s="24">
        <v>4000</v>
      </c>
      <c r="H1847" s="24">
        <v>0</v>
      </c>
      <c r="I1847" s="24">
        <f t="shared" si="84"/>
        <v>4000</v>
      </c>
    </row>
    <row r="1848" spans="4:9" ht="12.75">
      <c r="D1848" s="5" t="s">
        <v>915</v>
      </c>
      <c r="E1848" s="55" t="s">
        <v>879</v>
      </c>
      <c r="F1848" s="55"/>
      <c r="G1848" s="24">
        <v>5000</v>
      </c>
      <c r="H1848" s="24">
        <v>0</v>
      </c>
      <c r="I1848" s="24">
        <f t="shared" si="84"/>
        <v>5000</v>
      </c>
    </row>
    <row r="1849" spans="4:9" ht="12.75">
      <c r="D1849" s="5" t="s">
        <v>916</v>
      </c>
      <c r="E1849" s="55" t="s">
        <v>882</v>
      </c>
      <c r="F1849" s="55"/>
      <c r="G1849" s="24">
        <v>29000</v>
      </c>
      <c r="H1849" s="24">
        <v>0</v>
      </c>
      <c r="I1849" s="24">
        <f t="shared" si="84"/>
        <v>29000</v>
      </c>
    </row>
    <row r="1850" spans="4:9" ht="12.75">
      <c r="D1850" s="5" t="s">
        <v>924</v>
      </c>
      <c r="E1850" s="55" t="s">
        <v>203</v>
      </c>
      <c r="F1850" s="55"/>
      <c r="G1850" s="24">
        <v>142000</v>
      </c>
      <c r="H1850" s="24">
        <v>0</v>
      </c>
      <c r="I1850" s="24">
        <f t="shared" si="84"/>
        <v>142000</v>
      </c>
    </row>
    <row r="1851" spans="4:9" ht="12.75">
      <c r="D1851" s="5" t="s">
        <v>925</v>
      </c>
      <c r="E1851" s="55" t="s">
        <v>884</v>
      </c>
      <c r="F1851" s="55"/>
      <c r="G1851" s="24">
        <v>158000</v>
      </c>
      <c r="H1851" s="24">
        <v>0</v>
      </c>
      <c r="I1851" s="24">
        <f t="shared" si="84"/>
        <v>158000</v>
      </c>
    </row>
    <row r="1852" spans="4:9" ht="12.75">
      <c r="D1852" s="5" t="s">
        <v>931</v>
      </c>
      <c r="E1852" s="55" t="s">
        <v>210</v>
      </c>
      <c r="F1852" s="55"/>
      <c r="G1852" s="24">
        <v>2286217000</v>
      </c>
      <c r="H1852" s="24">
        <v>0</v>
      </c>
      <c r="I1852" s="24">
        <f t="shared" si="84"/>
        <v>2286217000</v>
      </c>
    </row>
    <row r="1853" spans="5:6" ht="65.25" customHeight="1">
      <c r="E1853" s="55" t="s">
        <v>467</v>
      </c>
      <c r="F1853" s="55"/>
    </row>
    <row r="1854" spans="4:9" ht="12.75">
      <c r="D1854" s="5" t="s">
        <v>750</v>
      </c>
      <c r="E1854" s="55" t="s">
        <v>887</v>
      </c>
      <c r="F1854" s="55"/>
      <c r="G1854" s="24">
        <v>12035000</v>
      </c>
      <c r="H1854" s="24">
        <v>0</v>
      </c>
      <c r="I1854" s="24">
        <f>G1854+H1854</f>
        <v>12035000</v>
      </c>
    </row>
    <row r="1855" spans="4:9" ht="13.5" thickBot="1">
      <c r="D1855" s="5" t="s">
        <v>754</v>
      </c>
      <c r="E1855" s="55" t="s">
        <v>212</v>
      </c>
      <c r="F1855" s="55"/>
      <c r="G1855" s="24">
        <v>19000</v>
      </c>
      <c r="H1855" s="24">
        <v>0</v>
      </c>
      <c r="I1855" s="24">
        <f>G1855+H1855</f>
        <v>19000</v>
      </c>
    </row>
    <row r="1856" spans="5:9" ht="12.75">
      <c r="E1856" s="58" t="s">
        <v>17</v>
      </c>
      <c r="F1856" s="58"/>
      <c r="G1856" s="25"/>
      <c r="H1856" s="25"/>
      <c r="I1856" s="25"/>
    </row>
    <row r="1857" spans="4:9" ht="13.5" thickBot="1">
      <c r="D1857" s="5" t="s">
        <v>772</v>
      </c>
      <c r="E1857" s="55" t="s">
        <v>773</v>
      </c>
      <c r="F1857" s="55"/>
      <c r="G1857" s="24">
        <f>SUM(G1843:G1856)</f>
        <v>2313753000</v>
      </c>
      <c r="I1857" s="24">
        <f>G1857+H1857</f>
        <v>2313753000</v>
      </c>
    </row>
    <row r="1858" spans="5:9" ht="13.5" thickBot="1">
      <c r="E1858" s="56" t="s">
        <v>18</v>
      </c>
      <c r="F1858" s="56"/>
      <c r="G1858" s="26">
        <f>SUM(G1857:G1857)</f>
        <v>2313753000</v>
      </c>
      <c r="H1858" s="26">
        <f>SUM(H1857:H1857)</f>
        <v>0</v>
      </c>
      <c r="I1858" s="26">
        <f>G1858+H1858</f>
        <v>2313753000</v>
      </c>
    </row>
    <row r="1859" ht="9" customHeight="1"/>
    <row r="1860" spans="1:6" ht="26.25" customHeight="1">
      <c r="A1860" s="8"/>
      <c r="B1860" s="9"/>
      <c r="C1860" s="8" t="s">
        <v>802</v>
      </c>
      <c r="D1860" s="9"/>
      <c r="E1860" s="57" t="s">
        <v>803</v>
      </c>
      <c r="F1860" s="57"/>
    </row>
    <row r="1861" spans="4:9" ht="12.75">
      <c r="D1861" s="5" t="s">
        <v>911</v>
      </c>
      <c r="E1861" s="55" t="s">
        <v>199</v>
      </c>
      <c r="F1861" s="55"/>
      <c r="G1861" s="24">
        <v>53889000</v>
      </c>
      <c r="H1861" s="24">
        <v>0</v>
      </c>
      <c r="I1861" s="24">
        <f aca="true" t="shared" si="85" ref="I1861:I1872">G1861+H1861</f>
        <v>53889000</v>
      </c>
    </row>
    <row r="1862" spans="4:9" ht="12.75">
      <c r="D1862" s="5" t="s">
        <v>912</v>
      </c>
      <c r="E1862" s="55" t="s">
        <v>877</v>
      </c>
      <c r="F1862" s="55"/>
      <c r="G1862" s="24">
        <v>9720000</v>
      </c>
      <c r="H1862" s="24">
        <v>0</v>
      </c>
      <c r="I1862" s="24">
        <f t="shared" si="85"/>
        <v>9720000</v>
      </c>
    </row>
    <row r="1863" spans="4:9" ht="12.75">
      <c r="D1863" s="5" t="s">
        <v>918</v>
      </c>
      <c r="E1863" s="55" t="s">
        <v>878</v>
      </c>
      <c r="F1863" s="55"/>
      <c r="G1863" s="24">
        <v>175000</v>
      </c>
      <c r="H1863" s="24">
        <v>0</v>
      </c>
      <c r="I1863" s="24">
        <f t="shared" si="85"/>
        <v>175000</v>
      </c>
    </row>
    <row r="1864" spans="4:9" ht="12.75">
      <c r="D1864" s="5" t="s">
        <v>921</v>
      </c>
      <c r="E1864" s="55" t="s">
        <v>880</v>
      </c>
      <c r="F1864" s="55"/>
      <c r="G1864" s="24">
        <v>1185000</v>
      </c>
      <c r="H1864" s="24">
        <v>0</v>
      </c>
      <c r="I1864" s="24">
        <f t="shared" si="85"/>
        <v>1185000</v>
      </c>
    </row>
    <row r="1865" spans="4:9" ht="12.75">
      <c r="D1865" s="5" t="s">
        <v>919</v>
      </c>
      <c r="E1865" s="55" t="s">
        <v>200</v>
      </c>
      <c r="F1865" s="55"/>
      <c r="G1865" s="24">
        <v>209000</v>
      </c>
      <c r="H1865" s="24">
        <v>2335.4899999999907</v>
      </c>
      <c r="I1865" s="24">
        <f t="shared" si="85"/>
        <v>211335.49</v>
      </c>
    </row>
    <row r="1866" spans="4:9" ht="12.75">
      <c r="D1866" s="5" t="s">
        <v>913</v>
      </c>
      <c r="E1866" s="55" t="s">
        <v>881</v>
      </c>
      <c r="F1866" s="55"/>
      <c r="G1866" s="24">
        <f>185000+2000000</f>
        <v>2185000</v>
      </c>
      <c r="H1866" s="24">
        <v>241882.88</v>
      </c>
      <c r="I1866" s="24">
        <f t="shared" si="85"/>
        <v>2426882.88</v>
      </c>
    </row>
    <row r="1867" spans="4:9" ht="12.75">
      <c r="D1867" s="5" t="s">
        <v>915</v>
      </c>
      <c r="E1867" s="55" t="s">
        <v>879</v>
      </c>
      <c r="F1867" s="55"/>
      <c r="G1867" s="24">
        <f>57000+2200000</f>
        <v>2257000</v>
      </c>
      <c r="H1867" s="24">
        <v>1668402.22</v>
      </c>
      <c r="I1867" s="24">
        <f t="shared" si="85"/>
        <v>3925402.2199999997</v>
      </c>
    </row>
    <row r="1868" spans="4:9" ht="12.75">
      <c r="D1868" s="5" t="s">
        <v>916</v>
      </c>
      <c r="E1868" s="55" t="s">
        <v>882</v>
      </c>
      <c r="F1868" s="55"/>
      <c r="G1868" s="24">
        <v>4200000</v>
      </c>
      <c r="H1868" s="24">
        <v>11763366.23</v>
      </c>
      <c r="I1868" s="24">
        <f t="shared" si="85"/>
        <v>15963366.23</v>
      </c>
    </row>
    <row r="1869" spans="4:9" ht="12.75">
      <c r="D1869" s="5" t="s">
        <v>923</v>
      </c>
      <c r="E1869" s="55" t="s">
        <v>883</v>
      </c>
      <c r="F1869" s="55"/>
      <c r="G1869" s="24">
        <v>1643000</v>
      </c>
      <c r="I1869" s="24">
        <f t="shared" si="85"/>
        <v>1643000</v>
      </c>
    </row>
    <row r="1870" spans="4:9" ht="12.75">
      <c r="D1870" s="5" t="s">
        <v>924</v>
      </c>
      <c r="E1870" s="55" t="s">
        <v>203</v>
      </c>
      <c r="F1870" s="55"/>
      <c r="G1870" s="24">
        <v>55000.26</v>
      </c>
      <c r="H1870" s="24">
        <v>500060.42</v>
      </c>
      <c r="I1870" s="24">
        <f t="shared" si="85"/>
        <v>555060.6799999999</v>
      </c>
    </row>
    <row r="1871" spans="4:9" ht="12.75">
      <c r="D1871" s="5" t="s">
        <v>925</v>
      </c>
      <c r="E1871" s="55" t="s">
        <v>884</v>
      </c>
      <c r="F1871" s="55"/>
      <c r="G1871" s="24">
        <f>209000+300000</f>
        <v>509000</v>
      </c>
      <c r="I1871" s="24">
        <f t="shared" si="85"/>
        <v>509000</v>
      </c>
    </row>
    <row r="1872" spans="4:9" ht="12.75">
      <c r="D1872" s="5" t="s">
        <v>749</v>
      </c>
      <c r="E1872" s="55" t="s">
        <v>896</v>
      </c>
      <c r="F1872" s="55"/>
      <c r="G1872" s="7">
        <v>32250000</v>
      </c>
      <c r="H1872" s="7"/>
      <c r="I1872" s="7">
        <f t="shared" si="85"/>
        <v>32250000</v>
      </c>
    </row>
    <row r="1873" spans="5:9" ht="14.25" customHeight="1">
      <c r="E1873" s="59" t="s">
        <v>633</v>
      </c>
      <c r="F1873" s="55"/>
      <c r="G1873" s="7"/>
      <c r="H1873" s="7"/>
      <c r="I1873" s="7"/>
    </row>
    <row r="1874" spans="4:9" ht="12.75">
      <c r="D1874" s="5" t="s">
        <v>754</v>
      </c>
      <c r="E1874" s="55" t="s">
        <v>212</v>
      </c>
      <c r="F1874" s="55"/>
      <c r="G1874" s="24">
        <v>1175000</v>
      </c>
      <c r="I1874" s="24">
        <f>G1874+H1874</f>
        <v>1175000</v>
      </c>
    </row>
    <row r="1875" spans="4:9" ht="12.75">
      <c r="D1875" s="5" t="s">
        <v>755</v>
      </c>
      <c r="E1875" s="55" t="s">
        <v>213</v>
      </c>
      <c r="F1875" s="55"/>
      <c r="G1875" s="24">
        <v>40000</v>
      </c>
      <c r="I1875" s="24">
        <f>G1875+H1875</f>
        <v>40000</v>
      </c>
    </row>
    <row r="1876" spans="4:9" ht="12.75">
      <c r="D1876" s="5" t="s">
        <v>926</v>
      </c>
      <c r="E1876" s="55" t="s">
        <v>885</v>
      </c>
      <c r="F1876" s="55"/>
      <c r="G1876" s="24">
        <v>32000</v>
      </c>
      <c r="I1876" s="24">
        <f>G1876+H1876</f>
        <v>32000</v>
      </c>
    </row>
    <row r="1877" spans="4:9" ht="13.5" thickBot="1">
      <c r="D1877" s="5" t="s">
        <v>927</v>
      </c>
      <c r="E1877" s="55" t="s">
        <v>886</v>
      </c>
      <c r="F1877" s="55"/>
      <c r="G1877" s="24">
        <v>1000000</v>
      </c>
      <c r="H1877" s="24">
        <v>2500000</v>
      </c>
      <c r="I1877" s="24">
        <f>G1877+H1877</f>
        <v>3500000</v>
      </c>
    </row>
    <row r="1878" spans="5:9" ht="12.75">
      <c r="E1878" s="58" t="s">
        <v>32</v>
      </c>
      <c r="F1878" s="58"/>
      <c r="G1878" s="25"/>
      <c r="H1878" s="25"/>
      <c r="I1878" s="25"/>
    </row>
    <row r="1879" spans="4:9" ht="12.75">
      <c r="D1879" s="5" t="s">
        <v>772</v>
      </c>
      <c r="E1879" s="55" t="s">
        <v>773</v>
      </c>
      <c r="F1879" s="55"/>
      <c r="G1879" s="24">
        <f>SUM(G1861:G1878)</f>
        <v>110524000.26</v>
      </c>
      <c r="I1879" s="24">
        <f aca="true" t="shared" si="86" ref="I1879:I1885">G1879+H1879</f>
        <v>110524000.26</v>
      </c>
    </row>
    <row r="1880" spans="4:9" ht="12.75">
      <c r="D1880" s="5" t="s">
        <v>784</v>
      </c>
      <c r="E1880" s="55" t="s">
        <v>785</v>
      </c>
      <c r="F1880" s="55"/>
      <c r="H1880" s="24">
        <v>5398651.7</v>
      </c>
      <c r="I1880" s="24">
        <f t="shared" si="86"/>
        <v>5398651.7</v>
      </c>
    </row>
    <row r="1881" spans="4:9" ht="12.75">
      <c r="D1881" s="5" t="s">
        <v>778</v>
      </c>
      <c r="E1881" s="55" t="s">
        <v>779</v>
      </c>
      <c r="F1881" s="55"/>
      <c r="H1881" s="24">
        <v>5000000</v>
      </c>
      <c r="I1881" s="24">
        <f t="shared" si="86"/>
        <v>5000000</v>
      </c>
    </row>
    <row r="1882" spans="4:9" ht="12.75">
      <c r="D1882" s="5" t="s">
        <v>780</v>
      </c>
      <c r="E1882" s="55" t="s">
        <v>781</v>
      </c>
      <c r="F1882" s="55"/>
      <c r="H1882" s="24">
        <v>6256116.59</v>
      </c>
      <c r="I1882" s="24">
        <f t="shared" si="86"/>
        <v>6256116.59</v>
      </c>
    </row>
    <row r="1883" spans="4:9" ht="12.75">
      <c r="D1883" s="5" t="s">
        <v>825</v>
      </c>
      <c r="E1883" s="55" t="s">
        <v>905</v>
      </c>
      <c r="F1883" s="55"/>
      <c r="H1883" s="24">
        <v>2395.909999999916</v>
      </c>
      <c r="I1883" s="24">
        <f t="shared" si="86"/>
        <v>2395.909999999916</v>
      </c>
    </row>
    <row r="1884" spans="4:9" ht="13.5" thickBot="1">
      <c r="D1884" s="5" t="s">
        <v>979</v>
      </c>
      <c r="E1884" s="55" t="s">
        <v>374</v>
      </c>
      <c r="F1884" s="55"/>
      <c r="H1884" s="24">
        <v>18883.03999999992</v>
      </c>
      <c r="I1884" s="24">
        <f t="shared" si="86"/>
        <v>18883.03999999992</v>
      </c>
    </row>
    <row r="1885" spans="5:9" ht="13.5" thickBot="1">
      <c r="E1885" s="56" t="s">
        <v>33</v>
      </c>
      <c r="F1885" s="56"/>
      <c r="G1885" s="26">
        <f>SUM(G1879:G1884)</f>
        <v>110524000.26</v>
      </c>
      <c r="H1885" s="26">
        <f>SUM(H1879:H1884)</f>
        <v>16676047.239999998</v>
      </c>
      <c r="I1885" s="26">
        <f t="shared" si="86"/>
        <v>127200047.5</v>
      </c>
    </row>
    <row r="1886" spans="5:9" ht="12.75">
      <c r="E1886" s="58" t="s">
        <v>344</v>
      </c>
      <c r="F1886" s="58"/>
      <c r="G1886" s="25"/>
      <c r="H1886" s="25"/>
      <c r="I1886" s="25"/>
    </row>
    <row r="1887" spans="4:9" ht="12.75">
      <c r="D1887" s="5" t="s">
        <v>772</v>
      </c>
      <c r="E1887" s="55" t="s">
        <v>773</v>
      </c>
      <c r="F1887" s="55"/>
      <c r="G1887" s="24">
        <f>+G1879+G1857+G1836+G1821+G1812</f>
        <v>7932757000.26</v>
      </c>
      <c r="H1887" s="24">
        <v>0</v>
      </c>
      <c r="I1887" s="24">
        <f aca="true" t="shared" si="87" ref="I1887:I1894">G1887+H1887</f>
        <v>7932757000.26</v>
      </c>
    </row>
    <row r="1888" spans="4:9" ht="12.75">
      <c r="D1888" s="5" t="s">
        <v>784</v>
      </c>
      <c r="E1888" s="55" t="s">
        <v>785</v>
      </c>
      <c r="F1888" s="55"/>
      <c r="G1888" s="24">
        <v>0</v>
      </c>
      <c r="H1888" s="24">
        <f>+H1880+H1822</f>
        <v>10398651.7</v>
      </c>
      <c r="I1888" s="24">
        <f t="shared" si="87"/>
        <v>10398651.7</v>
      </c>
    </row>
    <row r="1889" spans="4:9" ht="12.75">
      <c r="D1889" s="5" t="s">
        <v>778</v>
      </c>
      <c r="E1889" s="55" t="s">
        <v>779</v>
      </c>
      <c r="F1889" s="55"/>
      <c r="G1889" s="24">
        <v>0</v>
      </c>
      <c r="H1889" s="24">
        <f>+H1881+H1837</f>
        <v>12325507.85</v>
      </c>
      <c r="I1889" s="24">
        <f t="shared" si="87"/>
        <v>12325507.85</v>
      </c>
    </row>
    <row r="1890" spans="4:9" ht="12.75">
      <c r="D1890" s="5" t="s">
        <v>780</v>
      </c>
      <c r="E1890" s="55" t="s">
        <v>781</v>
      </c>
      <c r="F1890" s="55"/>
      <c r="G1890" s="24">
        <v>0</v>
      </c>
      <c r="H1890" s="24">
        <f>+H1882+H1838</f>
        <v>11256116.59</v>
      </c>
      <c r="I1890" s="24">
        <f t="shared" si="87"/>
        <v>11256116.59</v>
      </c>
    </row>
    <row r="1891" spans="4:9" ht="12.75">
      <c r="D1891" s="5" t="s">
        <v>825</v>
      </c>
      <c r="E1891" s="55" t="s">
        <v>905</v>
      </c>
      <c r="F1891" s="55"/>
      <c r="G1891" s="24">
        <v>0</v>
      </c>
      <c r="H1891" s="24">
        <f>+H1883+H1823</f>
        <v>1869895.91</v>
      </c>
      <c r="I1891" s="24">
        <f t="shared" si="87"/>
        <v>1869895.91</v>
      </c>
    </row>
    <row r="1892" spans="4:9" ht="12.75">
      <c r="D1892" s="5" t="s">
        <v>830</v>
      </c>
      <c r="E1892" s="55" t="s">
        <v>906</v>
      </c>
      <c r="F1892" s="55"/>
      <c r="G1892" s="24">
        <v>0</v>
      </c>
      <c r="H1892" s="24">
        <f>+H1839</f>
        <v>62001463.099999994</v>
      </c>
      <c r="I1892" s="24">
        <f t="shared" si="87"/>
        <v>62001463.099999994</v>
      </c>
    </row>
    <row r="1893" spans="4:9" ht="13.5" thickBot="1">
      <c r="D1893" s="5" t="s">
        <v>979</v>
      </c>
      <c r="E1893" s="55" t="s">
        <v>374</v>
      </c>
      <c r="F1893" s="55"/>
      <c r="G1893" s="24">
        <v>0</v>
      </c>
      <c r="H1893" s="24">
        <f>+H1884</f>
        <v>18883.03999999992</v>
      </c>
      <c r="I1893" s="24">
        <f t="shared" si="87"/>
        <v>18883.03999999992</v>
      </c>
    </row>
    <row r="1894" spans="5:9" ht="13.5" thickBot="1">
      <c r="E1894" s="56" t="s">
        <v>345</v>
      </c>
      <c r="F1894" s="56"/>
      <c r="G1894" s="26">
        <f>SUM(G1887:G1893)</f>
        <v>7932757000.26</v>
      </c>
      <c r="H1894" s="26">
        <f>SUM(H1887:H1893)</f>
        <v>97870518.19</v>
      </c>
      <c r="I1894" s="26">
        <f t="shared" si="87"/>
        <v>8030627518.45</v>
      </c>
    </row>
    <row r="1895" ht="7.5" customHeight="1"/>
    <row r="1896" spans="2:6" ht="12.75">
      <c r="B1896" s="9" t="s">
        <v>534</v>
      </c>
      <c r="C1896" s="8"/>
      <c r="D1896" s="9"/>
      <c r="E1896" s="61" t="s">
        <v>183</v>
      </c>
      <c r="F1896" s="61"/>
    </row>
    <row r="1897" spans="1:6" ht="25.5" customHeight="1">
      <c r="A1897" s="8"/>
      <c r="B1897" s="9"/>
      <c r="C1897" s="8">
        <v>410</v>
      </c>
      <c r="D1897" s="9"/>
      <c r="E1897" s="57" t="s">
        <v>803</v>
      </c>
      <c r="F1897" s="57"/>
    </row>
    <row r="1898" spans="4:9" ht="12.75">
      <c r="D1898" s="5" t="s">
        <v>913</v>
      </c>
      <c r="E1898" s="55" t="s">
        <v>881</v>
      </c>
      <c r="F1898" s="55"/>
      <c r="G1898" s="24">
        <f>100000+500000</f>
        <v>600000</v>
      </c>
      <c r="I1898" s="24">
        <f aca="true" t="shared" si="88" ref="I1898:I1903">G1898+H1898</f>
        <v>600000</v>
      </c>
    </row>
    <row r="1899" spans="4:9" ht="12.75">
      <c r="D1899" s="5" t="s">
        <v>915</v>
      </c>
      <c r="E1899" s="55" t="s">
        <v>879</v>
      </c>
      <c r="F1899" s="55"/>
      <c r="G1899" s="24">
        <f>90000+200000</f>
        <v>290000</v>
      </c>
      <c r="I1899" s="24">
        <f t="shared" si="88"/>
        <v>290000</v>
      </c>
    </row>
    <row r="1900" spans="4:9" ht="12.75">
      <c r="D1900" s="5" t="s">
        <v>916</v>
      </c>
      <c r="E1900" s="55" t="s">
        <v>882</v>
      </c>
      <c r="F1900" s="55"/>
      <c r="G1900" s="24">
        <v>569000</v>
      </c>
      <c r="I1900" s="24">
        <f t="shared" si="88"/>
        <v>569000</v>
      </c>
    </row>
    <row r="1901" spans="4:9" ht="12.75">
      <c r="D1901" s="5" t="s">
        <v>924</v>
      </c>
      <c r="E1901" s="55" t="s">
        <v>203</v>
      </c>
      <c r="F1901" s="55"/>
      <c r="G1901" s="24">
        <v>70000</v>
      </c>
      <c r="I1901" s="24">
        <f t="shared" si="88"/>
        <v>70000</v>
      </c>
    </row>
    <row r="1902" spans="4:9" ht="12.75">
      <c r="D1902" s="5" t="s">
        <v>925</v>
      </c>
      <c r="E1902" s="55" t="s">
        <v>884</v>
      </c>
      <c r="F1902" s="55"/>
      <c r="G1902" s="24">
        <f>467000+400000</f>
        <v>867000</v>
      </c>
      <c r="I1902" s="24">
        <f t="shared" si="88"/>
        <v>867000</v>
      </c>
    </row>
    <row r="1903" spans="4:9" ht="13.5" thickBot="1">
      <c r="D1903" s="5" t="s">
        <v>927</v>
      </c>
      <c r="E1903" s="55" t="s">
        <v>886</v>
      </c>
      <c r="F1903" s="55"/>
      <c r="G1903" s="24">
        <v>339000</v>
      </c>
      <c r="I1903" s="24">
        <f t="shared" si="88"/>
        <v>339000</v>
      </c>
    </row>
    <row r="1904" spans="5:9" ht="12.75">
      <c r="E1904" s="58" t="s">
        <v>32</v>
      </c>
      <c r="F1904" s="58"/>
      <c r="G1904" s="25"/>
      <c r="H1904" s="25"/>
      <c r="I1904" s="25"/>
    </row>
    <row r="1905" spans="4:9" ht="13.5" thickBot="1">
      <c r="D1905" s="5" t="s">
        <v>772</v>
      </c>
      <c r="E1905" s="55" t="s">
        <v>773</v>
      </c>
      <c r="F1905" s="55"/>
      <c r="G1905" s="36">
        <f>SUM(G1898:G1904)</f>
        <v>2735000</v>
      </c>
      <c r="H1905" s="36"/>
      <c r="I1905" s="24">
        <f>G1905+H1905</f>
        <v>2735000</v>
      </c>
    </row>
    <row r="1906" spans="5:9" ht="13.5" thickBot="1">
      <c r="E1906" s="56" t="s">
        <v>33</v>
      </c>
      <c r="F1906" s="56"/>
      <c r="G1906" s="26">
        <f>+G1905</f>
        <v>2735000</v>
      </c>
      <c r="H1906" s="26"/>
      <c r="I1906" s="26">
        <f>G1906+H1906</f>
        <v>2735000</v>
      </c>
    </row>
    <row r="1907" spans="5:9" ht="12.75">
      <c r="E1907" s="58" t="s">
        <v>535</v>
      </c>
      <c r="F1907" s="58"/>
      <c r="G1907" s="25"/>
      <c r="H1907" s="25"/>
      <c r="I1907" s="25"/>
    </row>
    <row r="1908" spans="4:9" ht="13.5" thickBot="1">
      <c r="D1908" s="5" t="s">
        <v>772</v>
      </c>
      <c r="E1908" s="55" t="s">
        <v>773</v>
      </c>
      <c r="F1908" s="55"/>
      <c r="G1908" s="36">
        <f>+G1905</f>
        <v>2735000</v>
      </c>
      <c r="H1908" s="36"/>
      <c r="I1908" s="24">
        <f>G1908+H1908</f>
        <v>2735000</v>
      </c>
    </row>
    <row r="1909" spans="5:9" ht="13.5" thickBot="1">
      <c r="E1909" s="56" t="s">
        <v>536</v>
      </c>
      <c r="F1909" s="56"/>
      <c r="G1909" s="26">
        <f>+G1908</f>
        <v>2735000</v>
      </c>
      <c r="H1909" s="26"/>
      <c r="I1909" s="26">
        <f>G1909+H1909</f>
        <v>2735000</v>
      </c>
    </row>
    <row r="1910" ht="9.75" customHeight="1"/>
    <row r="1911" spans="1:6" ht="26.25" customHeight="1">
      <c r="A1911" s="8" t="s">
        <v>766</v>
      </c>
      <c r="B1911" s="9" t="s">
        <v>537</v>
      </c>
      <c r="C1911" s="8"/>
      <c r="D1911" s="9"/>
      <c r="E1911" s="57" t="s">
        <v>235</v>
      </c>
      <c r="F1911" s="57"/>
    </row>
    <row r="1912" spans="1:6" ht="12.75">
      <c r="A1912" s="8"/>
      <c r="B1912" s="9"/>
      <c r="C1912" s="8" t="s">
        <v>843</v>
      </c>
      <c r="D1912" s="9"/>
      <c r="E1912" s="57" t="s">
        <v>844</v>
      </c>
      <c r="F1912" s="57"/>
    </row>
    <row r="1913" spans="4:9" ht="12.75">
      <c r="D1913" s="5" t="s">
        <v>913</v>
      </c>
      <c r="E1913" s="55" t="s">
        <v>881</v>
      </c>
      <c r="F1913" s="55"/>
      <c r="G1913" s="24">
        <v>0</v>
      </c>
      <c r="H1913" s="24">
        <v>112260.05</v>
      </c>
      <c r="I1913" s="24">
        <f>G1913+H1913</f>
        <v>112260.05</v>
      </c>
    </row>
    <row r="1914" spans="4:9" ht="13.5" thickBot="1">
      <c r="D1914" s="5" t="s">
        <v>753</v>
      </c>
      <c r="E1914" s="55" t="s">
        <v>211</v>
      </c>
      <c r="F1914" s="55"/>
      <c r="G1914" s="24">
        <v>0</v>
      </c>
      <c r="H1914" s="24">
        <v>34420692.870000005</v>
      </c>
      <c r="I1914" s="24">
        <f>G1914+H1914</f>
        <v>34420692.870000005</v>
      </c>
    </row>
    <row r="1915" spans="5:9" ht="12.75">
      <c r="E1915" s="58" t="s">
        <v>17</v>
      </c>
      <c r="F1915" s="58"/>
      <c r="G1915" s="25"/>
      <c r="H1915" s="25"/>
      <c r="I1915" s="25"/>
    </row>
    <row r="1916" spans="4:9" ht="12.75">
      <c r="D1916" s="5" t="s">
        <v>784</v>
      </c>
      <c r="E1916" s="55" t="s">
        <v>785</v>
      </c>
      <c r="F1916" s="55"/>
      <c r="H1916" s="24">
        <v>8012260.05</v>
      </c>
      <c r="I1916" s="24">
        <f>G1916+H1916</f>
        <v>8012260.05</v>
      </c>
    </row>
    <row r="1917" spans="4:9" ht="13.5" thickBot="1">
      <c r="D1917" s="5" t="s">
        <v>825</v>
      </c>
      <c r="E1917" s="55" t="s">
        <v>905</v>
      </c>
      <c r="F1917" s="55"/>
      <c r="H1917" s="24">
        <v>26520692.87</v>
      </c>
      <c r="I1917" s="24">
        <f>G1917+H1917</f>
        <v>26520692.87</v>
      </c>
    </row>
    <row r="1918" spans="5:9" ht="13.5" thickBot="1">
      <c r="E1918" s="56" t="s">
        <v>18</v>
      </c>
      <c r="F1918" s="56"/>
      <c r="G1918" s="26">
        <f>SUM(G1916:G1917)</f>
        <v>0</v>
      </c>
      <c r="H1918" s="26">
        <f>SUM(H1916:H1917)</f>
        <v>34532952.92</v>
      </c>
      <c r="I1918" s="26">
        <f>G1918+H1918</f>
        <v>34532952.92</v>
      </c>
    </row>
    <row r="1919" spans="5:9" ht="12.75">
      <c r="E1919" s="58" t="s">
        <v>538</v>
      </c>
      <c r="F1919" s="58"/>
      <c r="G1919" s="25"/>
      <c r="H1919" s="25"/>
      <c r="I1919" s="25"/>
    </row>
    <row r="1920" spans="4:9" ht="12.75">
      <c r="D1920" s="5" t="s">
        <v>784</v>
      </c>
      <c r="E1920" s="55" t="s">
        <v>785</v>
      </c>
      <c r="F1920" s="55"/>
      <c r="G1920" s="24">
        <v>0</v>
      </c>
      <c r="H1920" s="24">
        <f>+H1916</f>
        <v>8012260.05</v>
      </c>
      <c r="I1920" s="24">
        <f>G1920+H1920</f>
        <v>8012260.05</v>
      </c>
    </row>
    <row r="1921" spans="4:9" ht="13.5" thickBot="1">
      <c r="D1921" s="5" t="s">
        <v>825</v>
      </c>
      <c r="E1921" s="55" t="s">
        <v>905</v>
      </c>
      <c r="F1921" s="55"/>
      <c r="G1921" s="24">
        <v>0</v>
      </c>
      <c r="H1921" s="24">
        <f>+H1917</f>
        <v>26520692.87</v>
      </c>
      <c r="I1921" s="24">
        <f>G1921+H1921</f>
        <v>26520692.87</v>
      </c>
    </row>
    <row r="1922" spans="5:9" ht="13.5" thickBot="1">
      <c r="E1922" s="56" t="s">
        <v>539</v>
      </c>
      <c r="F1922" s="56"/>
      <c r="G1922" s="26">
        <f>SUM(G1920:G1921)</f>
        <v>0</v>
      </c>
      <c r="H1922" s="26">
        <f>SUM(H1920:H1921)</f>
        <v>34532952.92</v>
      </c>
      <c r="I1922" s="26">
        <f>G1922+H1922</f>
        <v>34532952.92</v>
      </c>
    </row>
    <row r="1923" ht="9" customHeight="1"/>
    <row r="1924" spans="1:6" ht="26.25" customHeight="1">
      <c r="A1924" s="8" t="s">
        <v>766</v>
      </c>
      <c r="B1924" s="9" t="s">
        <v>540</v>
      </c>
      <c r="C1924" s="8"/>
      <c r="D1924" s="9"/>
      <c r="E1924" s="57" t="s">
        <v>461</v>
      </c>
      <c r="F1924" s="57"/>
    </row>
    <row r="1925" spans="1:6" ht="12.75">
      <c r="A1925" s="8"/>
      <c r="B1925" s="9"/>
      <c r="C1925" s="8" t="s">
        <v>843</v>
      </c>
      <c r="D1925" s="9"/>
      <c r="E1925" s="57" t="s">
        <v>844</v>
      </c>
      <c r="F1925" s="57"/>
    </row>
    <row r="1926" spans="4:9" ht="12.75">
      <c r="D1926" s="5" t="s">
        <v>923</v>
      </c>
      <c r="E1926" s="55" t="s">
        <v>883</v>
      </c>
      <c r="F1926" s="55"/>
      <c r="G1926" s="24">
        <v>0</v>
      </c>
      <c r="H1926" s="24">
        <v>1962162.64</v>
      </c>
      <c r="I1926" s="24">
        <f>G1926+H1926</f>
        <v>1962162.64</v>
      </c>
    </row>
    <row r="1927" spans="4:9" ht="13.5" thickBot="1">
      <c r="D1927" s="5" t="s">
        <v>753</v>
      </c>
      <c r="E1927" s="55" t="s">
        <v>211</v>
      </c>
      <c r="F1927" s="55"/>
      <c r="G1927" s="24">
        <v>0</v>
      </c>
      <c r="H1927" s="24">
        <v>73112019.74</v>
      </c>
      <c r="I1927" s="24">
        <f>G1927+H1927</f>
        <v>73112019.74</v>
      </c>
    </row>
    <row r="1928" spans="5:9" ht="12.75">
      <c r="E1928" s="58" t="s">
        <v>17</v>
      </c>
      <c r="F1928" s="58"/>
      <c r="G1928" s="25"/>
      <c r="H1928" s="25"/>
      <c r="I1928" s="25"/>
    </row>
    <row r="1929" spans="4:9" ht="12.75">
      <c r="D1929" s="5" t="s">
        <v>784</v>
      </c>
      <c r="E1929" s="55" t="s">
        <v>785</v>
      </c>
      <c r="F1929" s="55"/>
      <c r="H1929" s="24">
        <v>74917561.52</v>
      </c>
      <c r="I1929" s="24">
        <f>G1929+H1929</f>
        <v>74917561.52</v>
      </c>
    </row>
    <row r="1930" spans="4:9" ht="13.5" thickBot="1">
      <c r="D1930" s="5" t="s">
        <v>825</v>
      </c>
      <c r="E1930" s="55" t="s">
        <v>905</v>
      </c>
      <c r="F1930" s="55"/>
      <c r="H1930" s="24">
        <v>156620.8599999994</v>
      </c>
      <c r="I1930" s="24">
        <f>G1930+H1930</f>
        <v>156620.8599999994</v>
      </c>
    </row>
    <row r="1931" spans="5:9" ht="13.5" thickBot="1">
      <c r="E1931" s="56" t="s">
        <v>18</v>
      </c>
      <c r="F1931" s="56"/>
      <c r="G1931" s="26">
        <f>SUM(G1929:G1930)</f>
        <v>0</v>
      </c>
      <c r="H1931" s="26">
        <f>SUM(H1929:H1930)</f>
        <v>75074182.38</v>
      </c>
      <c r="I1931" s="26">
        <f>G1931+H1931</f>
        <v>75074182.38</v>
      </c>
    </row>
    <row r="1932" spans="5:9" ht="12.75">
      <c r="E1932" s="58" t="s">
        <v>541</v>
      </c>
      <c r="F1932" s="58"/>
      <c r="G1932" s="25"/>
      <c r="H1932" s="25"/>
      <c r="I1932" s="25"/>
    </row>
    <row r="1933" spans="4:9" ht="12.75">
      <c r="D1933" s="5" t="s">
        <v>784</v>
      </c>
      <c r="E1933" s="55" t="s">
        <v>785</v>
      </c>
      <c r="F1933" s="55"/>
      <c r="G1933" s="24">
        <v>0</v>
      </c>
      <c r="H1933" s="24">
        <f>+H1929</f>
        <v>74917561.52</v>
      </c>
      <c r="I1933" s="24">
        <f>G1933+H1933</f>
        <v>74917561.52</v>
      </c>
    </row>
    <row r="1934" spans="4:9" ht="13.5" thickBot="1">
      <c r="D1934" s="5" t="s">
        <v>825</v>
      </c>
      <c r="E1934" s="55" t="s">
        <v>905</v>
      </c>
      <c r="F1934" s="55"/>
      <c r="G1934" s="24">
        <v>0</v>
      </c>
      <c r="H1934" s="24">
        <f>+H1930</f>
        <v>156620.8599999994</v>
      </c>
      <c r="I1934" s="24">
        <f>G1934+H1934</f>
        <v>156620.8599999994</v>
      </c>
    </row>
    <row r="1935" spans="5:9" ht="13.5" thickBot="1">
      <c r="E1935" s="56" t="s">
        <v>542</v>
      </c>
      <c r="F1935" s="56"/>
      <c r="G1935" s="26">
        <f>SUM(G1933:G1934)</f>
        <v>0</v>
      </c>
      <c r="H1935" s="26">
        <f>SUM(H1933:H1934)</f>
        <v>75074182.38</v>
      </c>
      <c r="I1935" s="26">
        <f>G1935+H1935</f>
        <v>75074182.38</v>
      </c>
    </row>
    <row r="1936" ht="8.25" customHeight="1"/>
    <row r="1937" spans="1:6" ht="12.75">
      <c r="A1937" s="8" t="s">
        <v>766</v>
      </c>
      <c r="B1937" s="9" t="s">
        <v>543</v>
      </c>
      <c r="C1937" s="8"/>
      <c r="D1937" s="9"/>
      <c r="E1937" s="57" t="s">
        <v>236</v>
      </c>
      <c r="F1937" s="57"/>
    </row>
    <row r="1938" spans="1:6" ht="25.5" customHeight="1">
      <c r="A1938" s="8"/>
      <c r="B1938" s="9"/>
      <c r="C1938" s="8" t="s">
        <v>841</v>
      </c>
      <c r="D1938" s="9"/>
      <c r="E1938" s="57" t="s">
        <v>842</v>
      </c>
      <c r="F1938" s="57"/>
    </row>
    <row r="1939" spans="4:9" ht="12.75">
      <c r="D1939" s="5" t="s">
        <v>924</v>
      </c>
      <c r="E1939" s="55" t="s">
        <v>203</v>
      </c>
      <c r="F1939" s="55"/>
      <c r="G1939" s="24">
        <v>0</v>
      </c>
      <c r="H1939" s="24">
        <v>288115</v>
      </c>
      <c r="I1939" s="24">
        <f aca="true" t="shared" si="89" ref="I1939:I1945">G1939+H1939</f>
        <v>288115</v>
      </c>
    </row>
    <row r="1940" spans="4:9" ht="12.75">
      <c r="D1940" s="5" t="s">
        <v>925</v>
      </c>
      <c r="E1940" s="55" t="s">
        <v>884</v>
      </c>
      <c r="F1940" s="55"/>
      <c r="G1940" s="24">
        <v>0</v>
      </c>
      <c r="H1940" s="24">
        <v>500000</v>
      </c>
      <c r="I1940" s="24">
        <f t="shared" si="89"/>
        <v>500000</v>
      </c>
    </row>
    <row r="1941" spans="4:9" ht="12.75">
      <c r="D1941" s="5" t="s">
        <v>750</v>
      </c>
      <c r="E1941" s="55" t="s">
        <v>887</v>
      </c>
      <c r="F1941" s="55"/>
      <c r="G1941" s="24">
        <v>0</v>
      </c>
      <c r="H1941" s="24">
        <v>703642.09</v>
      </c>
      <c r="I1941" s="24">
        <f t="shared" si="89"/>
        <v>703642.09</v>
      </c>
    </row>
    <row r="1942" spans="4:9" ht="12.75">
      <c r="D1942" s="5" t="s">
        <v>753</v>
      </c>
      <c r="E1942" s="55" t="s">
        <v>211</v>
      </c>
      <c r="F1942" s="55"/>
      <c r="G1942" s="24">
        <v>0</v>
      </c>
      <c r="H1942" s="24">
        <v>299310.73999999836</v>
      </c>
      <c r="I1942" s="24">
        <f t="shared" si="89"/>
        <v>299310.73999999836</v>
      </c>
    </row>
    <row r="1943" spans="4:9" ht="12.75">
      <c r="D1943" s="5" t="s">
        <v>754</v>
      </c>
      <c r="E1943" s="55" t="s">
        <v>212</v>
      </c>
      <c r="F1943" s="55"/>
      <c r="G1943" s="24">
        <v>0</v>
      </c>
      <c r="H1943" s="24">
        <v>0</v>
      </c>
      <c r="I1943" s="24">
        <f t="shared" si="89"/>
        <v>0</v>
      </c>
    </row>
    <row r="1944" spans="4:9" ht="12.75">
      <c r="D1944" s="5" t="s">
        <v>926</v>
      </c>
      <c r="E1944" s="55" t="s">
        <v>885</v>
      </c>
      <c r="F1944" s="55"/>
      <c r="G1944" s="24">
        <v>0</v>
      </c>
      <c r="H1944" s="24">
        <v>55364943.89999999</v>
      </c>
      <c r="I1944" s="24">
        <f t="shared" si="89"/>
        <v>55364943.89999999</v>
      </c>
    </row>
    <row r="1945" spans="4:9" ht="13.5" thickBot="1">
      <c r="D1945" s="5" t="s">
        <v>927</v>
      </c>
      <c r="E1945" s="55" t="s">
        <v>886</v>
      </c>
      <c r="F1945" s="55"/>
      <c r="G1945" s="24">
        <v>0</v>
      </c>
      <c r="H1945" s="24">
        <v>6899011</v>
      </c>
      <c r="I1945" s="24">
        <f t="shared" si="89"/>
        <v>6899011</v>
      </c>
    </row>
    <row r="1946" spans="5:9" ht="12.75">
      <c r="E1946" s="58" t="s">
        <v>53</v>
      </c>
      <c r="F1946" s="58"/>
      <c r="G1946" s="25"/>
      <c r="H1946" s="25"/>
      <c r="I1946" s="25"/>
    </row>
    <row r="1947" spans="4:9" ht="13.5" thickBot="1">
      <c r="D1947" s="5" t="s">
        <v>784</v>
      </c>
      <c r="E1947" s="55" t="s">
        <v>785</v>
      </c>
      <c r="F1947" s="55"/>
      <c r="H1947" s="24">
        <f>SUM(H1939:H1946)</f>
        <v>64055022.72999999</v>
      </c>
      <c r="I1947" s="24">
        <f>G1947+H1947</f>
        <v>64055022.72999999</v>
      </c>
    </row>
    <row r="1948" spans="5:9" ht="13.5" thickBot="1">
      <c r="E1948" s="56" t="s">
        <v>54</v>
      </c>
      <c r="F1948" s="56"/>
      <c r="G1948" s="26">
        <f>SUM(G1947:G1947)</f>
        <v>0</v>
      </c>
      <c r="H1948" s="26">
        <f>SUM(H1947:H1947)</f>
        <v>64055022.72999999</v>
      </c>
      <c r="I1948" s="26">
        <f>G1948+H1948</f>
        <v>64055022.72999999</v>
      </c>
    </row>
    <row r="1949" spans="5:9" ht="12.75">
      <c r="E1949" s="58" t="s">
        <v>544</v>
      </c>
      <c r="F1949" s="58"/>
      <c r="G1949" s="25"/>
      <c r="H1949" s="25"/>
      <c r="I1949" s="25"/>
    </row>
    <row r="1950" spans="4:9" ht="13.5" thickBot="1">
      <c r="D1950" s="5" t="s">
        <v>784</v>
      </c>
      <c r="E1950" s="55" t="s">
        <v>785</v>
      </c>
      <c r="F1950" s="55"/>
      <c r="G1950" s="24">
        <v>0</v>
      </c>
      <c r="H1950" s="24">
        <f>+H1947</f>
        <v>64055022.72999999</v>
      </c>
      <c r="I1950" s="24">
        <f>G1950+H1950</f>
        <v>64055022.72999999</v>
      </c>
    </row>
    <row r="1951" spans="5:9" ht="13.5" thickBot="1">
      <c r="E1951" s="56" t="s">
        <v>545</v>
      </c>
      <c r="F1951" s="56"/>
      <c r="G1951" s="26">
        <f>SUM(G1950:G1950)</f>
        <v>0</v>
      </c>
      <c r="H1951" s="26">
        <f>SUM(H1950:H1950)</f>
        <v>64055022.72999999</v>
      </c>
      <c r="I1951" s="26">
        <f>G1951+H1951</f>
        <v>64055022.72999999</v>
      </c>
    </row>
    <row r="1953" spans="1:6" ht="12.75">
      <c r="A1953" s="8" t="s">
        <v>766</v>
      </c>
      <c r="B1953" s="9" t="s">
        <v>546</v>
      </c>
      <c r="C1953" s="8"/>
      <c r="D1953" s="9"/>
      <c r="E1953" s="57" t="s">
        <v>237</v>
      </c>
      <c r="F1953" s="57"/>
    </row>
    <row r="1954" spans="1:6" ht="26.25" customHeight="1">
      <c r="A1954" s="8"/>
      <c r="B1954" s="9"/>
      <c r="C1954" s="8" t="s">
        <v>802</v>
      </c>
      <c r="D1954" s="9"/>
      <c r="E1954" s="57" t="s">
        <v>803</v>
      </c>
      <c r="F1954" s="57"/>
    </row>
    <row r="1955" spans="4:9" ht="12.75">
      <c r="D1955" s="5" t="s">
        <v>913</v>
      </c>
      <c r="E1955" s="55" t="s">
        <v>881</v>
      </c>
      <c r="F1955" s="55"/>
      <c r="G1955" s="24">
        <v>162000</v>
      </c>
      <c r="H1955" s="24">
        <v>0</v>
      </c>
      <c r="I1955" s="24">
        <f>G1955+H1955</f>
        <v>162000</v>
      </c>
    </row>
    <row r="1956" spans="4:9" ht="12.75">
      <c r="D1956" s="5" t="s">
        <v>915</v>
      </c>
      <c r="E1956" s="55" t="s">
        <v>879</v>
      </c>
      <c r="F1956" s="55"/>
      <c r="G1956" s="24">
        <v>59000</v>
      </c>
      <c r="H1956" s="24">
        <v>0</v>
      </c>
      <c r="I1956" s="24">
        <f>G1956+H1956</f>
        <v>59000</v>
      </c>
    </row>
    <row r="1957" spans="4:9" ht="12.75">
      <c r="D1957" s="5" t="s">
        <v>916</v>
      </c>
      <c r="E1957" s="55" t="s">
        <v>882</v>
      </c>
      <c r="F1957" s="55"/>
      <c r="G1957" s="24">
        <v>867000</v>
      </c>
      <c r="H1957" s="24">
        <v>0</v>
      </c>
      <c r="I1957" s="24">
        <f>G1957+H1957</f>
        <v>867000</v>
      </c>
    </row>
    <row r="1958" spans="4:9" ht="13.5" thickBot="1">
      <c r="D1958" s="5" t="s">
        <v>925</v>
      </c>
      <c r="E1958" s="55" t="s">
        <v>884</v>
      </c>
      <c r="F1958" s="55"/>
      <c r="G1958" s="24">
        <v>33000</v>
      </c>
      <c r="H1958" s="24">
        <v>0</v>
      </c>
      <c r="I1958" s="24">
        <f>G1958+H1958</f>
        <v>33000</v>
      </c>
    </row>
    <row r="1959" spans="5:9" ht="12.75">
      <c r="E1959" s="58" t="s">
        <v>32</v>
      </c>
      <c r="F1959" s="58"/>
      <c r="G1959" s="25"/>
      <c r="H1959" s="25"/>
      <c r="I1959" s="25"/>
    </row>
    <row r="1960" spans="4:9" ht="13.5" thickBot="1">
      <c r="D1960" s="5" t="s">
        <v>772</v>
      </c>
      <c r="E1960" s="55" t="s">
        <v>773</v>
      </c>
      <c r="F1960" s="55"/>
      <c r="G1960" s="24">
        <f>SUM(G1955:G1959)</f>
        <v>1121000</v>
      </c>
      <c r="I1960" s="24">
        <f>G1960+H1960</f>
        <v>1121000</v>
      </c>
    </row>
    <row r="1961" spans="5:9" ht="13.5" thickBot="1">
      <c r="E1961" s="56" t="s">
        <v>33</v>
      </c>
      <c r="F1961" s="56"/>
      <c r="G1961" s="26">
        <f>SUM(G1960:G1960)</f>
        <v>1121000</v>
      </c>
      <c r="H1961" s="26">
        <f>SUM(H1960:H1960)</f>
        <v>0</v>
      </c>
      <c r="I1961" s="26">
        <f>G1961+H1961</f>
        <v>1121000</v>
      </c>
    </row>
    <row r="1962" spans="5:9" ht="12.75">
      <c r="E1962" s="58" t="s">
        <v>547</v>
      </c>
      <c r="F1962" s="58"/>
      <c r="G1962" s="25"/>
      <c r="H1962" s="25"/>
      <c r="I1962" s="25"/>
    </row>
    <row r="1963" spans="4:9" ht="13.5" thickBot="1">
      <c r="D1963" s="5" t="s">
        <v>772</v>
      </c>
      <c r="E1963" s="55" t="s">
        <v>773</v>
      </c>
      <c r="F1963" s="55"/>
      <c r="G1963" s="24">
        <f>+G1960</f>
        <v>1121000</v>
      </c>
      <c r="H1963" s="24">
        <v>0</v>
      </c>
      <c r="I1963" s="24">
        <f>G1963+H1963</f>
        <v>1121000</v>
      </c>
    </row>
    <row r="1964" spans="5:9" ht="13.5" thickBot="1">
      <c r="E1964" s="56" t="s">
        <v>548</v>
      </c>
      <c r="F1964" s="56"/>
      <c r="G1964" s="26">
        <f>SUM(G1963:G1963)</f>
        <v>1121000</v>
      </c>
      <c r="H1964" s="26">
        <f>SUM(H1963:H1963)</f>
        <v>0</v>
      </c>
      <c r="I1964" s="26">
        <f>G1964+H1964</f>
        <v>1121000</v>
      </c>
    </row>
    <row r="1965" spans="5:9" ht="12.75">
      <c r="E1965" s="58" t="s">
        <v>103</v>
      </c>
      <c r="F1965" s="58"/>
      <c r="G1965" s="25"/>
      <c r="H1965" s="25"/>
      <c r="I1965" s="25"/>
    </row>
    <row r="1966" spans="4:9" ht="12.75">
      <c r="D1966" s="5" t="s">
        <v>772</v>
      </c>
      <c r="E1966" s="55" t="s">
        <v>773</v>
      </c>
      <c r="F1966" s="55"/>
      <c r="G1966" s="24">
        <f>+G1963+G1908+G1887</f>
        <v>7936613000.26</v>
      </c>
      <c r="H1966" s="24">
        <v>0</v>
      </c>
      <c r="I1966" s="24">
        <f aca="true" t="shared" si="90" ref="I1966:I1973">G1966+H1966</f>
        <v>7936613000.26</v>
      </c>
    </row>
    <row r="1967" spans="4:9" ht="12.75">
      <c r="D1967" s="5" t="s">
        <v>784</v>
      </c>
      <c r="E1967" s="55" t="s">
        <v>785</v>
      </c>
      <c r="F1967" s="55"/>
      <c r="G1967" s="24">
        <v>0</v>
      </c>
      <c r="H1967" s="24">
        <f>+H1950+H1933+H1920+H1888</f>
        <v>157383496</v>
      </c>
      <c r="I1967" s="24">
        <f t="shared" si="90"/>
        <v>157383496</v>
      </c>
    </row>
    <row r="1968" spans="4:9" ht="12.75">
      <c r="D1968" s="5" t="s">
        <v>778</v>
      </c>
      <c r="E1968" s="55" t="s">
        <v>779</v>
      </c>
      <c r="F1968" s="55"/>
      <c r="G1968" s="24">
        <v>0</v>
      </c>
      <c r="H1968" s="24">
        <f>+H1889</f>
        <v>12325507.85</v>
      </c>
      <c r="I1968" s="24">
        <f t="shared" si="90"/>
        <v>12325507.85</v>
      </c>
    </row>
    <row r="1969" spans="4:9" ht="12.75">
      <c r="D1969" s="5" t="s">
        <v>780</v>
      </c>
      <c r="E1969" s="55" t="s">
        <v>781</v>
      </c>
      <c r="F1969" s="55"/>
      <c r="G1969" s="24">
        <v>0</v>
      </c>
      <c r="H1969" s="24">
        <f>+H1890</f>
        <v>11256116.59</v>
      </c>
      <c r="I1969" s="24">
        <f t="shared" si="90"/>
        <v>11256116.59</v>
      </c>
    </row>
    <row r="1970" spans="4:9" ht="12.75">
      <c r="D1970" s="5" t="s">
        <v>825</v>
      </c>
      <c r="E1970" s="55" t="s">
        <v>905</v>
      </c>
      <c r="F1970" s="55"/>
      <c r="G1970" s="24">
        <v>0</v>
      </c>
      <c r="H1970" s="24">
        <f>+H1934+H1921+H1891</f>
        <v>28547209.64</v>
      </c>
      <c r="I1970" s="24">
        <f t="shared" si="90"/>
        <v>28547209.64</v>
      </c>
    </row>
    <row r="1971" spans="4:9" ht="12.75">
      <c r="D1971" s="5" t="s">
        <v>830</v>
      </c>
      <c r="E1971" s="55" t="s">
        <v>906</v>
      </c>
      <c r="F1971" s="55"/>
      <c r="G1971" s="24">
        <v>0</v>
      </c>
      <c r="H1971" s="24">
        <f>+H1892</f>
        <v>62001463.099999994</v>
      </c>
      <c r="I1971" s="24">
        <f t="shared" si="90"/>
        <v>62001463.099999994</v>
      </c>
    </row>
    <row r="1972" spans="4:9" ht="13.5" thickBot="1">
      <c r="D1972" s="5" t="s">
        <v>979</v>
      </c>
      <c r="E1972" s="55" t="s">
        <v>374</v>
      </c>
      <c r="F1972" s="55"/>
      <c r="G1972" s="24">
        <v>0</v>
      </c>
      <c r="H1972" s="24">
        <f>+H1893</f>
        <v>18883.03999999992</v>
      </c>
      <c r="I1972" s="24">
        <f t="shared" si="90"/>
        <v>18883.03999999992</v>
      </c>
    </row>
    <row r="1973" spans="5:9" ht="13.5" thickBot="1">
      <c r="E1973" s="56" t="s">
        <v>104</v>
      </c>
      <c r="F1973" s="56"/>
      <c r="G1973" s="26">
        <f>SUM(G1966:G1972)</f>
        <v>7936613000.26</v>
      </c>
      <c r="H1973" s="26">
        <f>SUM(H1966:H1972)</f>
        <v>271532676.21999997</v>
      </c>
      <c r="I1973" s="26">
        <f t="shared" si="90"/>
        <v>8208145676.4800005</v>
      </c>
    </row>
    <row r="1975" spans="1:6" ht="12.75">
      <c r="A1975" s="8">
        <v>22</v>
      </c>
      <c r="B1975" s="9" t="s">
        <v>766</v>
      </c>
      <c r="C1975" s="8"/>
      <c r="D1975" s="9"/>
      <c r="E1975" s="57" t="s">
        <v>182</v>
      </c>
      <c r="F1975" s="57"/>
    </row>
    <row r="1976" spans="1:6" ht="12.75">
      <c r="A1976" s="8"/>
      <c r="B1976" s="9"/>
      <c r="C1976" s="8" t="s">
        <v>845</v>
      </c>
      <c r="D1976" s="9"/>
      <c r="E1976" s="57" t="s">
        <v>846</v>
      </c>
      <c r="F1976" s="57"/>
    </row>
    <row r="1977" spans="4:9" ht="12.75">
      <c r="D1977" s="5" t="s">
        <v>911</v>
      </c>
      <c r="E1977" s="55" t="s">
        <v>199</v>
      </c>
      <c r="F1977" s="55"/>
      <c r="G1977" s="24">
        <v>8507000</v>
      </c>
      <c r="H1977" s="24">
        <v>0</v>
      </c>
      <c r="I1977" s="24">
        <f aca="true" t="shared" si="91" ref="I1977:I1991">G1977+H1977</f>
        <v>8507000</v>
      </c>
    </row>
    <row r="1978" spans="4:9" ht="12.75">
      <c r="D1978" s="5" t="s">
        <v>912</v>
      </c>
      <c r="E1978" s="55" t="s">
        <v>877</v>
      </c>
      <c r="F1978" s="55"/>
      <c r="G1978" s="24">
        <v>1540000</v>
      </c>
      <c r="H1978" s="24">
        <v>0</v>
      </c>
      <c r="I1978" s="24">
        <f t="shared" si="91"/>
        <v>1540000</v>
      </c>
    </row>
    <row r="1979" spans="4:9" ht="12.75">
      <c r="D1979" s="5" t="s">
        <v>918</v>
      </c>
      <c r="E1979" s="55" t="s">
        <v>878</v>
      </c>
      <c r="F1979" s="55"/>
      <c r="G1979" s="24">
        <v>50000</v>
      </c>
      <c r="H1979" s="24">
        <v>0</v>
      </c>
      <c r="I1979" s="24">
        <f t="shared" si="91"/>
        <v>50000</v>
      </c>
    </row>
    <row r="1980" spans="4:9" ht="12.75">
      <c r="D1980" s="5" t="s">
        <v>921</v>
      </c>
      <c r="E1980" s="55" t="s">
        <v>880</v>
      </c>
      <c r="F1980" s="55"/>
      <c r="G1980" s="24">
        <v>471000</v>
      </c>
      <c r="H1980" s="24">
        <v>0</v>
      </c>
      <c r="I1980" s="24">
        <f t="shared" si="91"/>
        <v>471000</v>
      </c>
    </row>
    <row r="1981" spans="4:9" ht="12.75">
      <c r="D1981" s="5" t="s">
        <v>919</v>
      </c>
      <c r="E1981" s="55" t="s">
        <v>200</v>
      </c>
      <c r="F1981" s="55"/>
      <c r="G1981" s="24">
        <v>212000</v>
      </c>
      <c r="H1981" s="24">
        <v>0</v>
      </c>
      <c r="I1981" s="24">
        <f t="shared" si="91"/>
        <v>212000</v>
      </c>
    </row>
    <row r="1982" spans="4:9" ht="12.75">
      <c r="D1982" s="5" t="s">
        <v>913</v>
      </c>
      <c r="E1982" s="55" t="s">
        <v>881</v>
      </c>
      <c r="F1982" s="55"/>
      <c r="G1982" s="24">
        <v>369000</v>
      </c>
      <c r="H1982" s="24">
        <v>0</v>
      </c>
      <c r="I1982" s="24">
        <f t="shared" si="91"/>
        <v>369000</v>
      </c>
    </row>
    <row r="1983" spans="4:9" ht="12.75">
      <c r="D1983" s="5" t="s">
        <v>915</v>
      </c>
      <c r="E1983" s="55" t="s">
        <v>879</v>
      </c>
      <c r="F1983" s="55"/>
      <c r="G1983" s="24">
        <v>983000</v>
      </c>
      <c r="H1983" s="24">
        <v>2495090.63</v>
      </c>
      <c r="I1983" s="24">
        <f t="shared" si="91"/>
        <v>3478090.63</v>
      </c>
    </row>
    <row r="1984" spans="4:9" ht="12.75">
      <c r="D1984" s="5" t="s">
        <v>916</v>
      </c>
      <c r="E1984" s="55" t="s">
        <v>882</v>
      </c>
      <c r="F1984" s="55"/>
      <c r="G1984" s="24">
        <v>49049000</v>
      </c>
      <c r="H1984" s="24">
        <v>3203965.3</v>
      </c>
      <c r="I1984" s="24">
        <f t="shared" si="91"/>
        <v>52252965.3</v>
      </c>
    </row>
    <row r="1985" spans="4:9" ht="12.75">
      <c r="D1985" s="5" t="s">
        <v>923</v>
      </c>
      <c r="E1985" s="55" t="s">
        <v>883</v>
      </c>
      <c r="F1985" s="55"/>
      <c r="G1985" s="24">
        <v>985781000</v>
      </c>
      <c r="H1985" s="24">
        <v>0</v>
      </c>
      <c r="I1985" s="24">
        <f t="shared" si="91"/>
        <v>985781000</v>
      </c>
    </row>
    <row r="1986" spans="4:9" ht="12.75">
      <c r="D1986" s="5" t="s">
        <v>924</v>
      </c>
      <c r="E1986" s="55" t="s">
        <v>203</v>
      </c>
      <c r="F1986" s="55"/>
      <c r="G1986" s="24">
        <v>232000</v>
      </c>
      <c r="H1986" s="24">
        <v>0</v>
      </c>
      <c r="I1986" s="24">
        <f t="shared" si="91"/>
        <v>232000</v>
      </c>
    </row>
    <row r="1987" spans="4:9" ht="12.75">
      <c r="D1987" s="5" t="s">
        <v>925</v>
      </c>
      <c r="E1987" s="55" t="s">
        <v>884</v>
      </c>
      <c r="F1987" s="55"/>
      <c r="G1987" s="24">
        <v>389000</v>
      </c>
      <c r="H1987" s="24">
        <v>0</v>
      </c>
      <c r="I1987" s="24">
        <f t="shared" si="91"/>
        <v>389000</v>
      </c>
    </row>
    <row r="1988" spans="4:9" ht="12.75">
      <c r="D1988" s="5" t="s">
        <v>750</v>
      </c>
      <c r="E1988" s="55" t="s">
        <v>887</v>
      </c>
      <c r="F1988" s="55"/>
      <c r="G1988" s="24">
        <v>59005000</v>
      </c>
      <c r="H1988" s="24">
        <v>0</v>
      </c>
      <c r="I1988" s="24">
        <f t="shared" si="91"/>
        <v>59005000</v>
      </c>
    </row>
    <row r="1989" spans="4:9" ht="12.75">
      <c r="D1989" s="5" t="s">
        <v>754</v>
      </c>
      <c r="E1989" s="55" t="s">
        <v>212</v>
      </c>
      <c r="F1989" s="55"/>
      <c r="G1989" s="24">
        <v>308000</v>
      </c>
      <c r="H1989" s="24">
        <v>0</v>
      </c>
      <c r="I1989" s="24">
        <f t="shared" si="91"/>
        <v>308000</v>
      </c>
    </row>
    <row r="1990" spans="4:9" ht="12.75">
      <c r="D1990" s="5" t="s">
        <v>926</v>
      </c>
      <c r="E1990" s="55" t="s">
        <v>885</v>
      </c>
      <c r="F1990" s="55"/>
      <c r="H1990" s="24">
        <v>500000000</v>
      </c>
      <c r="I1990" s="24">
        <f t="shared" si="91"/>
        <v>500000000</v>
      </c>
    </row>
    <row r="1991" spans="4:9" ht="13.5" thickBot="1">
      <c r="D1991" s="5" t="s">
        <v>927</v>
      </c>
      <c r="E1991" s="55" t="s">
        <v>886</v>
      </c>
      <c r="F1991" s="55"/>
      <c r="G1991" s="24">
        <v>4138000</v>
      </c>
      <c r="H1991" s="24">
        <v>0</v>
      </c>
      <c r="I1991" s="24">
        <f t="shared" si="91"/>
        <v>4138000</v>
      </c>
    </row>
    <row r="1992" spans="5:9" ht="12.75">
      <c r="E1992" s="58" t="s">
        <v>91</v>
      </c>
      <c r="F1992" s="58"/>
      <c r="G1992" s="25"/>
      <c r="H1992" s="25"/>
      <c r="I1992" s="25"/>
    </row>
    <row r="1993" spans="4:9" ht="12.75">
      <c r="D1993" s="5" t="s">
        <v>772</v>
      </c>
      <c r="E1993" s="55" t="s">
        <v>773</v>
      </c>
      <c r="F1993" s="55"/>
      <c r="G1993" s="24">
        <f>SUM(G1977:G1992)</f>
        <v>1111034000</v>
      </c>
      <c r="I1993" s="24">
        <f>G1993+H1993</f>
        <v>1111034000</v>
      </c>
    </row>
    <row r="1994" spans="4:9" ht="12.75">
      <c r="D1994" s="5" t="s">
        <v>784</v>
      </c>
      <c r="E1994" s="55" t="s">
        <v>785</v>
      </c>
      <c r="F1994" s="55"/>
      <c r="H1994" s="24">
        <v>3690777.9</v>
      </c>
      <c r="I1994" s="24">
        <f>G1994+H1994</f>
        <v>3690777.9</v>
      </c>
    </row>
    <row r="1995" spans="4:9" ht="12.75">
      <c r="D1995" s="5" t="s">
        <v>786</v>
      </c>
      <c r="E1995" s="55" t="s">
        <v>787</v>
      </c>
      <c r="F1995" s="55"/>
      <c r="H1995" s="24">
        <v>500000000</v>
      </c>
      <c r="I1995" s="24">
        <f>G1995+H1995</f>
        <v>500000000</v>
      </c>
    </row>
    <row r="1996" spans="4:9" ht="13.5" thickBot="1">
      <c r="D1996" s="5" t="s">
        <v>825</v>
      </c>
      <c r="E1996" s="55" t="s">
        <v>905</v>
      </c>
      <c r="F1996" s="55"/>
      <c r="H1996" s="24">
        <v>2008278.03</v>
      </c>
      <c r="I1996" s="24">
        <f>G1996+H1996</f>
        <v>2008278.03</v>
      </c>
    </row>
    <row r="1997" spans="5:9" ht="13.5" thickBot="1">
      <c r="E1997" s="56" t="s">
        <v>92</v>
      </c>
      <c r="F1997" s="56"/>
      <c r="G1997" s="26">
        <f>SUM(G1993:G1996)</f>
        <v>1111034000</v>
      </c>
      <c r="H1997" s="26">
        <f>SUM(H1993:H1996)</f>
        <v>505699055.92999995</v>
      </c>
      <c r="I1997" s="26">
        <f>G1997+H1997</f>
        <v>1616733055.9299998</v>
      </c>
    </row>
    <row r="1998" spans="5:9" ht="12.75">
      <c r="E1998" s="58" t="s">
        <v>367</v>
      </c>
      <c r="F1998" s="58"/>
      <c r="G1998" s="25"/>
      <c r="H1998" s="25"/>
      <c r="I1998" s="25"/>
    </row>
    <row r="1999" spans="4:9" ht="12.75">
      <c r="D1999" s="5" t="s">
        <v>772</v>
      </c>
      <c r="E1999" s="55" t="s">
        <v>773</v>
      </c>
      <c r="F1999" s="55"/>
      <c r="G1999" s="24">
        <f>+G1993</f>
        <v>1111034000</v>
      </c>
      <c r="H1999" s="24">
        <v>0</v>
      </c>
      <c r="I1999" s="24">
        <f>G1999+H1999</f>
        <v>1111034000</v>
      </c>
    </row>
    <row r="2000" spans="4:9" ht="12.75">
      <c r="D2000" s="5" t="s">
        <v>784</v>
      </c>
      <c r="E2000" s="55" t="s">
        <v>785</v>
      </c>
      <c r="F2000" s="55"/>
      <c r="G2000" s="24">
        <v>0</v>
      </c>
      <c r="H2000" s="24">
        <f>+H1994</f>
        <v>3690777.9</v>
      </c>
      <c r="I2000" s="24">
        <f>G2000+H2000</f>
        <v>3690777.9</v>
      </c>
    </row>
    <row r="2001" spans="4:9" ht="12.75">
      <c r="D2001" s="5" t="s">
        <v>786</v>
      </c>
      <c r="E2001" s="55" t="s">
        <v>787</v>
      </c>
      <c r="F2001" s="55"/>
      <c r="G2001" s="24">
        <v>0</v>
      </c>
      <c r="H2001" s="24">
        <f>+H1995</f>
        <v>500000000</v>
      </c>
      <c r="I2001" s="24">
        <f>G2001+H2001</f>
        <v>500000000</v>
      </c>
    </row>
    <row r="2002" spans="4:9" ht="13.5" thickBot="1">
      <c r="D2002" s="5" t="s">
        <v>825</v>
      </c>
      <c r="E2002" s="55" t="s">
        <v>905</v>
      </c>
      <c r="F2002" s="55"/>
      <c r="G2002" s="24">
        <v>0</v>
      </c>
      <c r="H2002" s="24">
        <f>+H1996</f>
        <v>2008278.03</v>
      </c>
      <c r="I2002" s="24">
        <f>G2002+H2002</f>
        <v>2008278.03</v>
      </c>
    </row>
    <row r="2003" spans="5:9" ht="13.5" thickBot="1">
      <c r="E2003" s="56" t="s">
        <v>368</v>
      </c>
      <c r="F2003" s="56"/>
      <c r="G2003" s="26">
        <f>SUM(G1999:G2002)</f>
        <v>1111034000</v>
      </c>
      <c r="H2003" s="26">
        <f>SUM(H1999:H2002)</f>
        <v>505699055.92999995</v>
      </c>
      <c r="I2003" s="26">
        <f>G2003+H2003</f>
        <v>1616733055.9299998</v>
      </c>
    </row>
    <row r="2004" spans="5:9" ht="12.75">
      <c r="E2004" s="12"/>
      <c r="F2004" s="12"/>
      <c r="G2004" s="29"/>
      <c r="H2004" s="29"/>
      <c r="I2004" s="29"/>
    </row>
    <row r="2005" spans="1:6" ht="12.75">
      <c r="A2005" s="8">
        <v>23</v>
      </c>
      <c r="B2005" s="9" t="s">
        <v>766</v>
      </c>
      <c r="C2005" s="8"/>
      <c r="D2005" s="9"/>
      <c r="E2005" s="57" t="s">
        <v>117</v>
      </c>
      <c r="F2005" s="57"/>
    </row>
    <row r="2006" spans="1:6" ht="13.5" customHeight="1">
      <c r="A2006" s="8"/>
      <c r="B2006" s="9"/>
      <c r="C2006" s="8" t="s">
        <v>847</v>
      </c>
      <c r="D2006" s="9"/>
      <c r="E2006" s="57" t="s">
        <v>848</v>
      </c>
      <c r="F2006" s="57"/>
    </row>
    <row r="2007" spans="4:9" ht="12.75">
      <c r="D2007" s="5" t="s">
        <v>911</v>
      </c>
      <c r="E2007" s="55" t="s">
        <v>199</v>
      </c>
      <c r="F2007" s="55"/>
      <c r="G2007" s="24">
        <v>20737000</v>
      </c>
      <c r="H2007" s="24">
        <v>0</v>
      </c>
      <c r="I2007" s="24">
        <f aca="true" t="shared" si="92" ref="I2007:I2021">G2007+H2007</f>
        <v>20737000</v>
      </c>
    </row>
    <row r="2008" spans="4:9" ht="12.75">
      <c r="D2008" s="5" t="s">
        <v>912</v>
      </c>
      <c r="E2008" s="55" t="s">
        <v>877</v>
      </c>
      <c r="F2008" s="55"/>
      <c r="G2008" s="24">
        <v>3708000</v>
      </c>
      <c r="H2008" s="24">
        <v>0</v>
      </c>
      <c r="I2008" s="24">
        <f t="shared" si="92"/>
        <v>3708000</v>
      </c>
    </row>
    <row r="2009" spans="4:9" ht="12.75">
      <c r="D2009" s="5" t="s">
        <v>918</v>
      </c>
      <c r="E2009" s="55" t="s">
        <v>878</v>
      </c>
      <c r="F2009" s="55"/>
      <c r="G2009" s="24">
        <v>304000</v>
      </c>
      <c r="H2009" s="24">
        <v>50000</v>
      </c>
      <c r="I2009" s="24">
        <f t="shared" si="92"/>
        <v>354000</v>
      </c>
    </row>
    <row r="2010" spans="4:9" ht="12.75">
      <c r="D2010" s="5" t="s">
        <v>921</v>
      </c>
      <c r="E2010" s="55" t="s">
        <v>880</v>
      </c>
      <c r="F2010" s="55"/>
      <c r="G2010" s="24">
        <v>100000</v>
      </c>
      <c r="H2010" s="24">
        <v>1464407.44</v>
      </c>
      <c r="I2010" s="24">
        <f t="shared" si="92"/>
        <v>1564407.44</v>
      </c>
    </row>
    <row r="2011" spans="4:9" ht="12.75">
      <c r="D2011" s="5" t="s">
        <v>919</v>
      </c>
      <c r="E2011" s="55" t="s">
        <v>200</v>
      </c>
      <c r="F2011" s="55"/>
      <c r="G2011" s="24">
        <v>212000</v>
      </c>
      <c r="H2011" s="24">
        <v>1433372.21</v>
      </c>
      <c r="I2011" s="24">
        <f t="shared" si="92"/>
        <v>1645372.21</v>
      </c>
    </row>
    <row r="2012" spans="4:9" ht="12.75">
      <c r="D2012" s="5" t="s">
        <v>913</v>
      </c>
      <c r="E2012" s="55" t="s">
        <v>881</v>
      </c>
      <c r="F2012" s="55"/>
      <c r="G2012" s="24">
        <v>794000</v>
      </c>
      <c r="H2012" s="24">
        <v>6021761.080000001</v>
      </c>
      <c r="I2012" s="24">
        <f t="shared" si="92"/>
        <v>6815761.080000001</v>
      </c>
    </row>
    <row r="2013" spans="4:9" ht="12.75">
      <c r="D2013" s="5" t="s">
        <v>915</v>
      </c>
      <c r="E2013" s="55" t="s">
        <v>879</v>
      </c>
      <c r="F2013" s="55"/>
      <c r="G2013" s="24">
        <v>120000</v>
      </c>
      <c r="H2013" s="24">
        <v>4111004.66</v>
      </c>
      <c r="I2013" s="24">
        <f t="shared" si="92"/>
        <v>4231004.66</v>
      </c>
    </row>
    <row r="2014" spans="4:9" ht="12.75">
      <c r="D2014" s="5" t="s">
        <v>916</v>
      </c>
      <c r="E2014" s="55" t="s">
        <v>882</v>
      </c>
      <c r="F2014" s="55"/>
      <c r="G2014" s="24">
        <v>312000</v>
      </c>
      <c r="H2014" s="24">
        <v>11463395.29</v>
      </c>
      <c r="I2014" s="24">
        <f t="shared" si="92"/>
        <v>11775395.29</v>
      </c>
    </row>
    <row r="2015" spans="4:9" ht="12.75">
      <c r="D2015" s="5" t="s">
        <v>923</v>
      </c>
      <c r="E2015" s="55" t="s">
        <v>883</v>
      </c>
      <c r="F2015" s="55"/>
      <c r="G2015" s="24">
        <v>11537000</v>
      </c>
      <c r="H2015" s="24">
        <v>11820000</v>
      </c>
      <c r="I2015" s="24">
        <f t="shared" si="92"/>
        <v>23357000</v>
      </c>
    </row>
    <row r="2016" spans="4:9" ht="12.75">
      <c r="D2016" s="5" t="s">
        <v>924</v>
      </c>
      <c r="E2016" s="55" t="s">
        <v>203</v>
      </c>
      <c r="F2016" s="55"/>
      <c r="G2016" s="24">
        <v>332000</v>
      </c>
      <c r="H2016" s="24">
        <v>2127450.62</v>
      </c>
      <c r="I2016" s="24">
        <f t="shared" si="92"/>
        <v>2459450.62</v>
      </c>
    </row>
    <row r="2017" spans="4:9" ht="12.75">
      <c r="D2017" s="5" t="s">
        <v>925</v>
      </c>
      <c r="E2017" s="55" t="s">
        <v>884</v>
      </c>
      <c r="F2017" s="55"/>
      <c r="G2017" s="24">
        <v>45000</v>
      </c>
      <c r="H2017" s="24">
        <v>12051822.36</v>
      </c>
      <c r="I2017" s="24">
        <f t="shared" si="92"/>
        <v>12096822.36</v>
      </c>
    </row>
    <row r="2018" spans="4:9" ht="12.75">
      <c r="D2018" s="5" t="s">
        <v>749</v>
      </c>
      <c r="E2018" s="55" t="s">
        <v>896</v>
      </c>
      <c r="F2018" s="55"/>
      <c r="G2018" s="7">
        <v>30765000</v>
      </c>
      <c r="H2018" s="7">
        <v>0</v>
      </c>
      <c r="I2018" s="7">
        <f t="shared" si="92"/>
        <v>30765000</v>
      </c>
    </row>
    <row r="2019" spans="5:9" ht="51.75" customHeight="1">
      <c r="E2019" s="55" t="s">
        <v>579</v>
      </c>
      <c r="F2019" s="55"/>
      <c r="I2019" s="24">
        <f t="shared" si="92"/>
        <v>0</v>
      </c>
    </row>
    <row r="2020" spans="4:9" ht="12.75">
      <c r="D2020" s="5" t="s">
        <v>754</v>
      </c>
      <c r="E2020" s="55" t="s">
        <v>212</v>
      </c>
      <c r="F2020" s="55"/>
      <c r="G2020" s="24">
        <v>351000</v>
      </c>
      <c r="H2020" s="24">
        <v>387220.31</v>
      </c>
      <c r="I2020" s="24">
        <f t="shared" si="92"/>
        <v>738220.31</v>
      </c>
    </row>
    <row r="2021" spans="4:9" ht="13.5" thickBot="1">
      <c r="D2021" s="5" t="s">
        <v>927</v>
      </c>
      <c r="E2021" s="55" t="s">
        <v>886</v>
      </c>
      <c r="F2021" s="55"/>
      <c r="G2021" s="24">
        <v>336000</v>
      </c>
      <c r="H2021" s="24">
        <v>16399999.999999998</v>
      </c>
      <c r="I2021" s="24">
        <f t="shared" si="92"/>
        <v>16735999.999999998</v>
      </c>
    </row>
    <row r="2022" spans="5:9" ht="12.75">
      <c r="E2022" s="58" t="s">
        <v>93</v>
      </c>
      <c r="F2022" s="58"/>
      <c r="G2022" s="25"/>
      <c r="H2022" s="25"/>
      <c r="I2022" s="25"/>
    </row>
    <row r="2023" spans="4:9" ht="12.75">
      <c r="D2023" s="5" t="s">
        <v>772</v>
      </c>
      <c r="E2023" s="55" t="s">
        <v>773</v>
      </c>
      <c r="F2023" s="55"/>
      <c r="G2023" s="24">
        <f>SUM(G2007:G2022)</f>
        <v>69653000</v>
      </c>
      <c r="I2023" s="24">
        <f aca="true" t="shared" si="93" ref="I2023:I2029">G2023+H2023</f>
        <v>69653000</v>
      </c>
    </row>
    <row r="2024" spans="4:9" ht="12.75">
      <c r="D2024" s="5" t="s">
        <v>784</v>
      </c>
      <c r="E2024" s="55" t="s">
        <v>785</v>
      </c>
      <c r="F2024" s="55"/>
      <c r="H2024" s="24">
        <v>16420000</v>
      </c>
      <c r="I2024" s="24">
        <f t="shared" si="93"/>
        <v>16420000</v>
      </c>
    </row>
    <row r="2025" spans="4:9" ht="12.75">
      <c r="D2025" s="5" t="s">
        <v>778</v>
      </c>
      <c r="E2025" s="55" t="s">
        <v>779</v>
      </c>
      <c r="F2025" s="55"/>
      <c r="H2025" s="24">
        <v>26942558.36</v>
      </c>
      <c r="I2025" s="24">
        <f t="shared" si="93"/>
        <v>26942558.36</v>
      </c>
    </row>
    <row r="2026" spans="4:9" ht="12.75">
      <c r="D2026" s="5" t="s">
        <v>780</v>
      </c>
      <c r="E2026" s="55" t="s">
        <v>781</v>
      </c>
      <c r="F2026" s="55"/>
      <c r="H2026" s="24">
        <v>12776783.84</v>
      </c>
      <c r="I2026" s="24">
        <f t="shared" si="93"/>
        <v>12776783.84</v>
      </c>
    </row>
    <row r="2027" spans="4:9" ht="12.75">
      <c r="D2027" s="5" t="s">
        <v>825</v>
      </c>
      <c r="E2027" s="55" t="s">
        <v>905</v>
      </c>
      <c r="F2027" s="55"/>
      <c r="H2027" s="24">
        <v>11179367.3</v>
      </c>
      <c r="I2027" s="24">
        <f t="shared" si="93"/>
        <v>11179367.3</v>
      </c>
    </row>
    <row r="2028" spans="4:9" ht="13.5" thickBot="1">
      <c r="D2028" s="5" t="s">
        <v>979</v>
      </c>
      <c r="E2028" s="55" t="s">
        <v>374</v>
      </c>
      <c r="F2028" s="55"/>
      <c r="H2028" s="24">
        <v>11724.47</v>
      </c>
      <c r="I2028" s="24">
        <f t="shared" si="93"/>
        <v>11724.47</v>
      </c>
    </row>
    <row r="2029" spans="5:9" ht="13.5" thickBot="1">
      <c r="E2029" s="56" t="s">
        <v>94</v>
      </c>
      <c r="F2029" s="56"/>
      <c r="G2029" s="26">
        <f>SUM(G2023:G2028)</f>
        <v>69653000</v>
      </c>
      <c r="H2029" s="26">
        <f>SUM(H2023:H2028)</f>
        <v>67330433.97</v>
      </c>
      <c r="I2029" s="26">
        <f t="shared" si="93"/>
        <v>136983433.97</v>
      </c>
    </row>
    <row r="2030" spans="5:9" ht="12.75">
      <c r="E2030" s="58" t="s">
        <v>344</v>
      </c>
      <c r="F2030" s="58"/>
      <c r="G2030" s="25"/>
      <c r="H2030" s="25"/>
      <c r="I2030" s="25"/>
    </row>
    <row r="2031" spans="4:9" ht="12.75">
      <c r="D2031" s="5" t="s">
        <v>772</v>
      </c>
      <c r="E2031" s="55" t="s">
        <v>773</v>
      </c>
      <c r="F2031" s="55"/>
      <c r="G2031" s="24">
        <f>+G2023</f>
        <v>69653000</v>
      </c>
      <c r="H2031" s="24">
        <v>0</v>
      </c>
      <c r="I2031" s="24">
        <f aca="true" t="shared" si="94" ref="I2031:I2037">G2031+H2031</f>
        <v>69653000</v>
      </c>
    </row>
    <row r="2032" spans="4:9" ht="12.75">
      <c r="D2032" s="5" t="s">
        <v>784</v>
      </c>
      <c r="E2032" s="55" t="s">
        <v>785</v>
      </c>
      <c r="F2032" s="55"/>
      <c r="H2032" s="24">
        <v>16420000</v>
      </c>
      <c r="I2032" s="24">
        <f t="shared" si="94"/>
        <v>16420000</v>
      </c>
    </row>
    <row r="2033" spans="4:9" ht="12.75">
      <c r="D2033" s="5" t="s">
        <v>778</v>
      </c>
      <c r="E2033" s="55" t="s">
        <v>779</v>
      </c>
      <c r="F2033" s="55"/>
      <c r="G2033" s="24">
        <v>0</v>
      </c>
      <c r="H2033" s="24">
        <v>29696133.03</v>
      </c>
      <c r="I2033" s="24">
        <f t="shared" si="94"/>
        <v>29696133.03</v>
      </c>
    </row>
    <row r="2034" spans="4:9" ht="12.75">
      <c r="D2034" s="5" t="s">
        <v>780</v>
      </c>
      <c r="E2034" s="55" t="s">
        <v>781</v>
      </c>
      <c r="F2034" s="55"/>
      <c r="G2034" s="24">
        <v>0</v>
      </c>
      <c r="H2034" s="24">
        <v>13164622.72</v>
      </c>
      <c r="I2034" s="24">
        <f t="shared" si="94"/>
        <v>13164622.72</v>
      </c>
    </row>
    <row r="2035" spans="4:9" ht="12.75">
      <c r="D2035" s="5" t="s">
        <v>825</v>
      </c>
      <c r="E2035" s="55" t="s">
        <v>905</v>
      </c>
      <c r="F2035" s="55"/>
      <c r="G2035" s="24">
        <v>0</v>
      </c>
      <c r="H2035" s="24">
        <v>18500000</v>
      </c>
      <c r="I2035" s="24">
        <f t="shared" si="94"/>
        <v>18500000</v>
      </c>
    </row>
    <row r="2036" spans="4:9" ht="13.5" thickBot="1">
      <c r="D2036" s="5" t="s">
        <v>979</v>
      </c>
      <c r="E2036" s="55" t="s">
        <v>374</v>
      </c>
      <c r="F2036" s="55"/>
      <c r="G2036" s="24">
        <v>0</v>
      </c>
      <c r="H2036" s="24">
        <v>629471.57</v>
      </c>
      <c r="I2036" s="24">
        <f t="shared" si="94"/>
        <v>629471.57</v>
      </c>
    </row>
    <row r="2037" spans="5:9" ht="13.5" thickBot="1">
      <c r="E2037" s="56" t="s">
        <v>345</v>
      </c>
      <c r="F2037" s="56"/>
      <c r="G2037" s="26">
        <f>SUM(G2031:G2036)</f>
        <v>69653000</v>
      </c>
      <c r="H2037" s="26">
        <f>SUM(H2031:H2036)</f>
        <v>78410227.32</v>
      </c>
      <c r="I2037" s="26">
        <f t="shared" si="94"/>
        <v>148063227.32</v>
      </c>
    </row>
    <row r="2039" spans="1:6" ht="12.75">
      <c r="A2039" s="8" t="s">
        <v>766</v>
      </c>
      <c r="B2039" s="9" t="s">
        <v>255</v>
      </c>
      <c r="C2039" s="8"/>
      <c r="D2039" s="9"/>
      <c r="E2039" s="57" t="s">
        <v>250</v>
      </c>
      <c r="F2039" s="57"/>
    </row>
    <row r="2040" spans="1:6" ht="13.5" customHeight="1">
      <c r="A2040" s="8"/>
      <c r="B2040" s="9"/>
      <c r="C2040" s="8" t="s">
        <v>847</v>
      </c>
      <c r="D2040" s="9"/>
      <c r="E2040" s="57" t="s">
        <v>848</v>
      </c>
      <c r="F2040" s="57"/>
    </row>
    <row r="2041" spans="4:9" ht="12.75">
      <c r="D2041" s="5" t="s">
        <v>911</v>
      </c>
      <c r="E2041" s="55" t="s">
        <v>199</v>
      </c>
      <c r="F2041" s="55"/>
      <c r="G2041" s="24">
        <v>2595000</v>
      </c>
      <c r="H2041" s="24">
        <v>0</v>
      </c>
      <c r="I2041" s="24">
        <f aca="true" t="shared" si="95" ref="I2041:I2052">G2041+H2041</f>
        <v>2595000</v>
      </c>
    </row>
    <row r="2042" spans="4:9" ht="12.75">
      <c r="D2042" s="5" t="s">
        <v>912</v>
      </c>
      <c r="E2042" s="55" t="s">
        <v>877</v>
      </c>
      <c r="F2042" s="55"/>
      <c r="G2042" s="24">
        <v>464000</v>
      </c>
      <c r="H2042" s="24">
        <v>0</v>
      </c>
      <c r="I2042" s="24">
        <f t="shared" si="95"/>
        <v>464000</v>
      </c>
    </row>
    <row r="2043" spans="4:9" ht="12.75">
      <c r="D2043" s="5" t="s">
        <v>918</v>
      </c>
      <c r="E2043" s="55" t="s">
        <v>878</v>
      </c>
      <c r="F2043" s="55"/>
      <c r="G2043" s="24">
        <v>10000</v>
      </c>
      <c r="H2043" s="24">
        <v>0</v>
      </c>
      <c r="I2043" s="24">
        <f t="shared" si="95"/>
        <v>10000</v>
      </c>
    </row>
    <row r="2044" spans="4:9" ht="12.75">
      <c r="D2044" s="5" t="s">
        <v>919</v>
      </c>
      <c r="E2044" s="55" t="s">
        <v>200</v>
      </c>
      <c r="F2044" s="55"/>
      <c r="G2044" s="24">
        <v>26000</v>
      </c>
      <c r="H2044" s="24">
        <v>0</v>
      </c>
      <c r="I2044" s="24">
        <f t="shared" si="95"/>
        <v>26000</v>
      </c>
    </row>
    <row r="2045" spans="4:9" ht="12.75">
      <c r="D2045" s="5" t="s">
        <v>913</v>
      </c>
      <c r="E2045" s="55" t="s">
        <v>881</v>
      </c>
      <c r="F2045" s="55"/>
      <c r="G2045" s="24">
        <v>85000</v>
      </c>
      <c r="H2045" s="24">
        <v>0</v>
      </c>
      <c r="I2045" s="24">
        <f t="shared" si="95"/>
        <v>85000</v>
      </c>
    </row>
    <row r="2046" spans="4:9" ht="12.75">
      <c r="D2046" s="5" t="s">
        <v>915</v>
      </c>
      <c r="E2046" s="55" t="s">
        <v>879</v>
      </c>
      <c r="F2046" s="55"/>
      <c r="G2046" s="24">
        <v>27000</v>
      </c>
      <c r="H2046" s="24">
        <v>0</v>
      </c>
      <c r="I2046" s="24">
        <f t="shared" si="95"/>
        <v>27000</v>
      </c>
    </row>
    <row r="2047" spans="4:9" ht="12.75">
      <c r="D2047" s="5" t="s">
        <v>916</v>
      </c>
      <c r="E2047" s="55" t="s">
        <v>882</v>
      </c>
      <c r="F2047" s="55"/>
      <c r="G2047" s="24">
        <v>86000</v>
      </c>
      <c r="H2047" s="24">
        <v>0</v>
      </c>
      <c r="I2047" s="24">
        <f t="shared" si="95"/>
        <v>86000</v>
      </c>
    </row>
    <row r="2048" spans="4:9" ht="12.75">
      <c r="D2048" s="5" t="s">
        <v>923</v>
      </c>
      <c r="E2048" s="55" t="s">
        <v>883</v>
      </c>
      <c r="F2048" s="55"/>
      <c r="G2048" s="24">
        <v>30000</v>
      </c>
      <c r="H2048" s="24">
        <v>0</v>
      </c>
      <c r="I2048" s="24">
        <f t="shared" si="95"/>
        <v>30000</v>
      </c>
    </row>
    <row r="2049" spans="4:9" ht="12.75">
      <c r="D2049" s="5" t="s">
        <v>924</v>
      </c>
      <c r="E2049" s="55" t="s">
        <v>203</v>
      </c>
      <c r="F2049" s="55"/>
      <c r="G2049" s="24">
        <v>2000</v>
      </c>
      <c r="H2049" s="24">
        <v>0</v>
      </c>
      <c r="I2049" s="24">
        <f t="shared" si="95"/>
        <v>2000</v>
      </c>
    </row>
    <row r="2050" spans="4:9" ht="12.75">
      <c r="D2050" s="5" t="s">
        <v>925</v>
      </c>
      <c r="E2050" s="55" t="s">
        <v>884</v>
      </c>
      <c r="F2050" s="55"/>
      <c r="G2050" s="24">
        <v>85000</v>
      </c>
      <c r="H2050" s="24">
        <v>0</v>
      </c>
      <c r="I2050" s="24">
        <f t="shared" si="95"/>
        <v>85000</v>
      </c>
    </row>
    <row r="2051" spans="4:9" ht="12.75">
      <c r="D2051" s="5" t="s">
        <v>754</v>
      </c>
      <c r="E2051" s="55" t="s">
        <v>212</v>
      </c>
      <c r="F2051" s="55"/>
      <c r="G2051" s="24">
        <v>114000</v>
      </c>
      <c r="H2051" s="24">
        <v>0</v>
      </c>
      <c r="I2051" s="24">
        <f t="shared" si="95"/>
        <v>114000</v>
      </c>
    </row>
    <row r="2052" spans="4:9" ht="13.5" thickBot="1">
      <c r="D2052" s="5" t="s">
        <v>927</v>
      </c>
      <c r="E2052" s="55" t="s">
        <v>886</v>
      </c>
      <c r="F2052" s="55"/>
      <c r="G2052" s="24">
        <v>283000</v>
      </c>
      <c r="H2052" s="24">
        <v>0</v>
      </c>
      <c r="I2052" s="24">
        <f t="shared" si="95"/>
        <v>283000</v>
      </c>
    </row>
    <row r="2053" spans="5:9" ht="12.75">
      <c r="E2053" s="58" t="s">
        <v>93</v>
      </c>
      <c r="F2053" s="58"/>
      <c r="G2053" s="25"/>
      <c r="H2053" s="25"/>
      <c r="I2053" s="25"/>
    </row>
    <row r="2054" spans="4:9" ht="13.5" thickBot="1">
      <c r="D2054" s="5" t="s">
        <v>772</v>
      </c>
      <c r="E2054" s="55" t="s">
        <v>773</v>
      </c>
      <c r="F2054" s="55"/>
      <c r="G2054" s="24">
        <f>SUM(G2041:G2053)</f>
        <v>3807000</v>
      </c>
      <c r="I2054" s="24">
        <f>G2054+H2054</f>
        <v>3807000</v>
      </c>
    </row>
    <row r="2055" spans="5:9" ht="13.5" thickBot="1">
      <c r="E2055" s="56" t="s">
        <v>94</v>
      </c>
      <c r="F2055" s="56"/>
      <c r="G2055" s="26">
        <f>SUM(G2054:G2054)</f>
        <v>3807000</v>
      </c>
      <c r="H2055" s="26">
        <f>SUM(H2054:H2054)</f>
        <v>0</v>
      </c>
      <c r="I2055" s="26">
        <f>G2055+H2055</f>
        <v>3807000</v>
      </c>
    </row>
    <row r="2056" spans="5:9" ht="12.75">
      <c r="E2056" s="58" t="s">
        <v>369</v>
      </c>
      <c r="F2056" s="58"/>
      <c r="G2056" s="25"/>
      <c r="H2056" s="25"/>
      <c r="I2056" s="25"/>
    </row>
    <row r="2057" spans="4:9" ht="13.5" thickBot="1">
      <c r="D2057" s="5" t="s">
        <v>772</v>
      </c>
      <c r="E2057" s="55" t="s">
        <v>773</v>
      </c>
      <c r="F2057" s="55"/>
      <c r="G2057" s="24">
        <f>+G2054</f>
        <v>3807000</v>
      </c>
      <c r="H2057" s="24">
        <v>0</v>
      </c>
      <c r="I2057" s="24">
        <f>G2057+H2057</f>
        <v>3807000</v>
      </c>
    </row>
    <row r="2058" spans="5:9" ht="13.5" thickBot="1">
      <c r="E2058" s="56" t="s">
        <v>370</v>
      </c>
      <c r="F2058" s="56"/>
      <c r="G2058" s="26">
        <f>SUM(G2057:G2057)</f>
        <v>3807000</v>
      </c>
      <c r="H2058" s="26">
        <f>SUM(H2057:H2057)</f>
        <v>0</v>
      </c>
      <c r="I2058" s="26">
        <f>G2058+H2058</f>
        <v>3807000</v>
      </c>
    </row>
    <row r="2060" spans="1:6" ht="12.75">
      <c r="A2060" s="8" t="s">
        <v>766</v>
      </c>
      <c r="B2060" s="9" t="s">
        <v>549</v>
      </c>
      <c r="C2060" s="8"/>
      <c r="D2060" s="9"/>
      <c r="E2060" s="57" t="s">
        <v>251</v>
      </c>
      <c r="F2060" s="57"/>
    </row>
    <row r="2061" spans="1:6" ht="13.5" customHeight="1">
      <c r="A2061" s="8"/>
      <c r="B2061" s="9"/>
      <c r="C2061" s="8" t="s">
        <v>847</v>
      </c>
      <c r="D2061" s="9"/>
      <c r="E2061" s="57" t="s">
        <v>848</v>
      </c>
      <c r="F2061" s="57"/>
    </row>
    <row r="2062" spans="4:9" ht="12.75">
      <c r="D2062" s="5" t="s">
        <v>911</v>
      </c>
      <c r="E2062" s="55" t="s">
        <v>199</v>
      </c>
      <c r="F2062" s="55"/>
      <c r="G2062" s="24">
        <v>2173000</v>
      </c>
      <c r="H2062" s="24">
        <v>0</v>
      </c>
      <c r="I2062" s="24">
        <f aca="true" t="shared" si="96" ref="I2062:I2075">G2062+H2062</f>
        <v>2173000</v>
      </c>
    </row>
    <row r="2063" spans="4:9" ht="12.75">
      <c r="D2063" s="5" t="s">
        <v>912</v>
      </c>
      <c r="E2063" s="55" t="s">
        <v>877</v>
      </c>
      <c r="F2063" s="55"/>
      <c r="G2063" s="24">
        <v>399000</v>
      </c>
      <c r="H2063" s="24">
        <v>0</v>
      </c>
      <c r="I2063" s="24">
        <f t="shared" si="96"/>
        <v>399000</v>
      </c>
    </row>
    <row r="2064" spans="4:9" ht="12.75">
      <c r="D2064" s="5" t="s">
        <v>918</v>
      </c>
      <c r="E2064" s="55" t="s">
        <v>878</v>
      </c>
      <c r="F2064" s="55"/>
      <c r="G2064" s="24">
        <v>11000</v>
      </c>
      <c r="H2064" s="24">
        <v>96000</v>
      </c>
      <c r="I2064" s="24">
        <f t="shared" si="96"/>
        <v>107000</v>
      </c>
    </row>
    <row r="2065" spans="4:9" ht="12.75">
      <c r="D2065" s="5" t="s">
        <v>921</v>
      </c>
      <c r="E2065" s="55" t="s">
        <v>880</v>
      </c>
      <c r="F2065" s="55"/>
      <c r="G2065" s="24">
        <v>65000</v>
      </c>
      <c r="H2065" s="24">
        <v>184230</v>
      </c>
      <c r="I2065" s="24">
        <f t="shared" si="96"/>
        <v>249230</v>
      </c>
    </row>
    <row r="2066" spans="4:9" ht="12.75">
      <c r="D2066" s="5" t="s">
        <v>919</v>
      </c>
      <c r="E2066" s="55" t="s">
        <v>200</v>
      </c>
      <c r="F2066" s="55"/>
      <c r="G2066" s="24">
        <v>13000</v>
      </c>
      <c r="H2066" s="24">
        <v>38096</v>
      </c>
      <c r="I2066" s="24">
        <f t="shared" si="96"/>
        <v>51096</v>
      </c>
    </row>
    <row r="2067" spans="4:9" ht="12.75">
      <c r="D2067" s="5" t="s">
        <v>922</v>
      </c>
      <c r="E2067" s="55" t="s">
        <v>201</v>
      </c>
      <c r="F2067" s="55"/>
      <c r="G2067" s="24">
        <v>0</v>
      </c>
      <c r="H2067" s="24">
        <v>200000</v>
      </c>
      <c r="I2067" s="24">
        <f t="shared" si="96"/>
        <v>200000</v>
      </c>
    </row>
    <row r="2068" spans="4:9" ht="12.75">
      <c r="D2068" s="5" t="s">
        <v>913</v>
      </c>
      <c r="E2068" s="55" t="s">
        <v>881</v>
      </c>
      <c r="F2068" s="55"/>
      <c r="G2068" s="24">
        <v>19000</v>
      </c>
      <c r="H2068" s="24">
        <v>62400.81</v>
      </c>
      <c r="I2068" s="24">
        <f t="shared" si="96"/>
        <v>81400.81</v>
      </c>
    </row>
    <row r="2069" spans="4:9" ht="12.75">
      <c r="D2069" s="5" t="s">
        <v>915</v>
      </c>
      <c r="E2069" s="55" t="s">
        <v>879</v>
      </c>
      <c r="F2069" s="55"/>
      <c r="G2069" s="24">
        <v>4000</v>
      </c>
      <c r="H2069" s="24">
        <v>166135.02</v>
      </c>
      <c r="I2069" s="24">
        <f t="shared" si="96"/>
        <v>170135.02</v>
      </c>
    </row>
    <row r="2070" spans="4:9" ht="12.75">
      <c r="D2070" s="5" t="s">
        <v>916</v>
      </c>
      <c r="E2070" s="55" t="s">
        <v>882</v>
      </c>
      <c r="F2070" s="55"/>
      <c r="G2070" s="24">
        <v>42000</v>
      </c>
      <c r="H2070" s="24">
        <v>996259.05</v>
      </c>
      <c r="I2070" s="24">
        <f t="shared" si="96"/>
        <v>1038259.05</v>
      </c>
    </row>
    <row r="2071" spans="4:9" ht="12.75">
      <c r="D2071" s="5" t="s">
        <v>923</v>
      </c>
      <c r="E2071" s="55" t="s">
        <v>883</v>
      </c>
      <c r="F2071" s="55"/>
      <c r="G2071" s="24">
        <v>1340000</v>
      </c>
      <c r="H2071" s="24">
        <v>385437067.72</v>
      </c>
      <c r="I2071" s="24">
        <f t="shared" si="96"/>
        <v>386777067.72</v>
      </c>
    </row>
    <row r="2072" spans="4:9" ht="12.75">
      <c r="D2072" s="5" t="s">
        <v>924</v>
      </c>
      <c r="E2072" s="55" t="s">
        <v>203</v>
      </c>
      <c r="F2072" s="55"/>
      <c r="G2072" s="24">
        <v>247000</v>
      </c>
      <c r="H2072" s="24">
        <v>0</v>
      </c>
      <c r="I2072" s="24">
        <f t="shared" si="96"/>
        <v>247000</v>
      </c>
    </row>
    <row r="2073" spans="4:9" ht="12.75">
      <c r="D2073" s="5" t="s">
        <v>925</v>
      </c>
      <c r="E2073" s="55" t="s">
        <v>884</v>
      </c>
      <c r="F2073" s="55"/>
      <c r="G2073" s="24">
        <v>26000</v>
      </c>
      <c r="H2073" s="24">
        <v>180345.17</v>
      </c>
      <c r="I2073" s="24">
        <f t="shared" si="96"/>
        <v>206345.17</v>
      </c>
    </row>
    <row r="2074" spans="4:9" ht="12.75">
      <c r="D2074" s="5" t="s">
        <v>754</v>
      </c>
      <c r="E2074" s="55" t="s">
        <v>212</v>
      </c>
      <c r="F2074" s="55"/>
      <c r="G2074" s="24">
        <v>22000</v>
      </c>
      <c r="H2074" s="24">
        <v>0</v>
      </c>
      <c r="I2074" s="24">
        <f t="shared" si="96"/>
        <v>22000</v>
      </c>
    </row>
    <row r="2075" spans="4:9" ht="13.5" thickBot="1">
      <c r="D2075" s="5" t="s">
        <v>927</v>
      </c>
      <c r="E2075" s="55" t="s">
        <v>886</v>
      </c>
      <c r="F2075" s="55"/>
      <c r="G2075" s="24">
        <v>115000</v>
      </c>
      <c r="H2075" s="24">
        <v>1775000</v>
      </c>
      <c r="I2075" s="24">
        <f t="shared" si="96"/>
        <v>1890000</v>
      </c>
    </row>
    <row r="2076" spans="5:9" ht="12.75">
      <c r="E2076" s="58" t="s">
        <v>93</v>
      </c>
      <c r="F2076" s="58"/>
      <c r="G2076" s="25"/>
      <c r="H2076" s="25"/>
      <c r="I2076" s="25"/>
    </row>
    <row r="2077" spans="4:9" ht="12.75">
      <c r="D2077" s="5" t="s">
        <v>772</v>
      </c>
      <c r="E2077" s="55" t="s">
        <v>773</v>
      </c>
      <c r="F2077" s="55"/>
      <c r="G2077" s="24">
        <f>SUM(G2062:G2076)</f>
        <v>4476000</v>
      </c>
      <c r="I2077" s="24">
        <f>G2077+H2077</f>
        <v>4476000</v>
      </c>
    </row>
    <row r="2078" spans="4:9" ht="13.5" thickBot="1">
      <c r="D2078" s="5" t="s">
        <v>784</v>
      </c>
      <c r="E2078" s="55" t="s">
        <v>785</v>
      </c>
      <c r="F2078" s="55"/>
      <c r="H2078" s="24">
        <f>SUM(H2062:H2077)</f>
        <v>389135533.77000004</v>
      </c>
      <c r="I2078" s="24">
        <f>G2078+H2078</f>
        <v>389135533.77000004</v>
      </c>
    </row>
    <row r="2079" spans="5:9" ht="13.5" thickBot="1">
      <c r="E2079" s="56" t="s">
        <v>94</v>
      </c>
      <c r="F2079" s="56"/>
      <c r="G2079" s="26">
        <f>SUM(G2077:G2078)</f>
        <v>4476000</v>
      </c>
      <c r="H2079" s="26">
        <f>SUM(H2077:H2078)</f>
        <v>389135533.77000004</v>
      </c>
      <c r="I2079" s="26">
        <f>G2079+H2079</f>
        <v>393611533.77000004</v>
      </c>
    </row>
    <row r="2080" spans="5:9" ht="12.75">
      <c r="E2080" s="58" t="s">
        <v>119</v>
      </c>
      <c r="F2080" s="58"/>
      <c r="G2080" s="25"/>
      <c r="H2080" s="25"/>
      <c r="I2080" s="25"/>
    </row>
    <row r="2081" spans="4:9" ht="12.75">
      <c r="D2081" s="5" t="s">
        <v>772</v>
      </c>
      <c r="E2081" s="55" t="s">
        <v>773</v>
      </c>
      <c r="F2081" s="55"/>
      <c r="G2081" s="24">
        <f>+G2077</f>
        <v>4476000</v>
      </c>
      <c r="H2081" s="24">
        <v>0</v>
      </c>
      <c r="I2081" s="24">
        <f>G2081+H2081</f>
        <v>4476000</v>
      </c>
    </row>
    <row r="2082" spans="4:9" ht="13.5" thickBot="1">
      <c r="D2082" s="5" t="s">
        <v>784</v>
      </c>
      <c r="E2082" s="55" t="s">
        <v>785</v>
      </c>
      <c r="F2082" s="55"/>
      <c r="G2082" s="24">
        <v>0</v>
      </c>
      <c r="H2082" s="24">
        <f>+H2078</f>
        <v>389135533.77000004</v>
      </c>
      <c r="I2082" s="24">
        <f>G2082+H2082</f>
        <v>389135533.77000004</v>
      </c>
    </row>
    <row r="2083" spans="5:9" ht="13.5" thickBot="1">
      <c r="E2083" s="56" t="s">
        <v>120</v>
      </c>
      <c r="F2083" s="56"/>
      <c r="G2083" s="26">
        <f>SUM(G2081:G2082)</f>
        <v>4476000</v>
      </c>
      <c r="H2083" s="26">
        <f>SUM(H2081:H2082)</f>
        <v>389135533.77000004</v>
      </c>
      <c r="I2083" s="26">
        <f>G2083+H2083</f>
        <v>393611533.77000004</v>
      </c>
    </row>
    <row r="2084" spans="5:9" ht="12.75">
      <c r="E2084" s="58" t="s">
        <v>371</v>
      </c>
      <c r="F2084" s="58"/>
      <c r="G2084" s="25"/>
      <c r="H2084" s="25"/>
      <c r="I2084" s="25"/>
    </row>
    <row r="2085" spans="4:9" ht="12.75">
      <c r="D2085" s="5" t="s">
        <v>772</v>
      </c>
      <c r="E2085" s="55" t="s">
        <v>773</v>
      </c>
      <c r="F2085" s="55"/>
      <c r="G2085" s="24">
        <f>+G2081+G2057+G2031</f>
        <v>77936000</v>
      </c>
      <c r="H2085" s="24">
        <v>0</v>
      </c>
      <c r="I2085" s="24">
        <f aca="true" t="shared" si="97" ref="I2085:I2091">G2085+H2085</f>
        <v>77936000</v>
      </c>
    </row>
    <row r="2086" spans="4:9" ht="12.75">
      <c r="D2086" s="5" t="s">
        <v>784</v>
      </c>
      <c r="E2086" s="55" t="s">
        <v>785</v>
      </c>
      <c r="F2086" s="55"/>
      <c r="G2086" s="24">
        <v>0</v>
      </c>
      <c r="H2086" s="24">
        <f>+H2082+H2032</f>
        <v>405555533.77000004</v>
      </c>
      <c r="I2086" s="24">
        <f t="shared" si="97"/>
        <v>405555533.77000004</v>
      </c>
    </row>
    <row r="2087" spans="4:9" ht="12.75">
      <c r="D2087" s="5" t="s">
        <v>778</v>
      </c>
      <c r="E2087" s="55" t="s">
        <v>779</v>
      </c>
      <c r="F2087" s="55"/>
      <c r="G2087" s="24">
        <v>0</v>
      </c>
      <c r="H2087" s="24">
        <f>+H2033</f>
        <v>29696133.03</v>
      </c>
      <c r="I2087" s="24">
        <f t="shared" si="97"/>
        <v>29696133.03</v>
      </c>
    </row>
    <row r="2088" spans="4:9" ht="12.75">
      <c r="D2088" s="5" t="s">
        <v>780</v>
      </c>
      <c r="E2088" s="55" t="s">
        <v>781</v>
      </c>
      <c r="F2088" s="55"/>
      <c r="G2088" s="24">
        <v>0</v>
      </c>
      <c r="H2088" s="24">
        <f>+H2034</f>
        <v>13164622.72</v>
      </c>
      <c r="I2088" s="24">
        <f t="shared" si="97"/>
        <v>13164622.72</v>
      </c>
    </row>
    <row r="2089" spans="4:9" ht="12.75">
      <c r="D2089" s="5" t="s">
        <v>825</v>
      </c>
      <c r="E2089" s="55" t="s">
        <v>905</v>
      </c>
      <c r="F2089" s="55"/>
      <c r="G2089" s="24">
        <v>0</v>
      </c>
      <c r="H2089" s="24">
        <f>+H2035</f>
        <v>18500000</v>
      </c>
      <c r="I2089" s="24">
        <f t="shared" si="97"/>
        <v>18500000</v>
      </c>
    </row>
    <row r="2090" spans="4:9" ht="13.5" thickBot="1">
      <c r="D2090" s="5" t="s">
        <v>979</v>
      </c>
      <c r="E2090" s="55" t="s">
        <v>374</v>
      </c>
      <c r="F2090" s="55"/>
      <c r="G2090" s="24">
        <v>0</v>
      </c>
      <c r="H2090" s="24">
        <f>+H2036</f>
        <v>629471.57</v>
      </c>
      <c r="I2090" s="24">
        <f t="shared" si="97"/>
        <v>629471.57</v>
      </c>
    </row>
    <row r="2091" spans="5:9" ht="13.5" thickBot="1">
      <c r="E2091" s="56" t="s">
        <v>372</v>
      </c>
      <c r="F2091" s="56"/>
      <c r="G2091" s="26">
        <f>SUM(G2085:G2090)</f>
        <v>77936000</v>
      </c>
      <c r="H2091" s="26">
        <f>SUM(H2085:H2090)</f>
        <v>467545761.0900001</v>
      </c>
      <c r="I2091" s="26">
        <f t="shared" si="97"/>
        <v>545481761.0900002</v>
      </c>
    </row>
    <row r="2092" spans="1:6" ht="12.75">
      <c r="A2092" s="8"/>
      <c r="B2092" s="9"/>
      <c r="C2092" s="8"/>
      <c r="D2092" s="9"/>
      <c r="E2092" s="10"/>
      <c r="F2092" s="10"/>
    </row>
    <row r="2093" spans="1:6" ht="12.75">
      <c r="A2093" s="8">
        <v>24</v>
      </c>
      <c r="B2093" s="9" t="s">
        <v>766</v>
      </c>
      <c r="C2093" s="8"/>
      <c r="D2093" s="9"/>
      <c r="E2093" s="57" t="s">
        <v>121</v>
      </c>
      <c r="F2093" s="57"/>
    </row>
    <row r="2094" spans="1:6" ht="12.75">
      <c r="A2094" s="8"/>
      <c r="B2094" s="9"/>
      <c r="C2094" s="8" t="s">
        <v>849</v>
      </c>
      <c r="D2094" s="9"/>
      <c r="E2094" s="57" t="s">
        <v>850</v>
      </c>
      <c r="F2094" s="57"/>
    </row>
    <row r="2095" spans="4:9" ht="12.75">
      <c r="D2095" s="5" t="s">
        <v>911</v>
      </c>
      <c r="E2095" s="55" t="s">
        <v>199</v>
      </c>
      <c r="F2095" s="55"/>
      <c r="G2095" s="24">
        <v>45253000</v>
      </c>
      <c r="H2095" s="24">
        <v>0</v>
      </c>
      <c r="I2095" s="24">
        <f aca="true" t="shared" si="98" ref="I2095:I2111">G2095+H2095</f>
        <v>45253000</v>
      </c>
    </row>
    <row r="2096" spans="4:9" ht="12.75">
      <c r="D2096" s="5" t="s">
        <v>912</v>
      </c>
      <c r="E2096" s="55" t="s">
        <v>877</v>
      </c>
      <c r="F2096" s="55"/>
      <c r="G2096" s="24">
        <v>7972000</v>
      </c>
      <c r="H2096" s="24">
        <v>0</v>
      </c>
      <c r="I2096" s="24">
        <f t="shared" si="98"/>
        <v>7972000</v>
      </c>
    </row>
    <row r="2097" spans="4:9" ht="12.75">
      <c r="D2097" s="5" t="s">
        <v>918</v>
      </c>
      <c r="E2097" s="55" t="s">
        <v>878</v>
      </c>
      <c r="F2097" s="55"/>
      <c r="G2097" s="24">
        <v>600000</v>
      </c>
      <c r="H2097" s="24">
        <v>0</v>
      </c>
      <c r="I2097" s="24">
        <f t="shared" si="98"/>
        <v>600000</v>
      </c>
    </row>
    <row r="2098" spans="4:9" ht="12.75">
      <c r="D2098" s="5" t="s">
        <v>921</v>
      </c>
      <c r="E2098" s="55" t="s">
        <v>880</v>
      </c>
      <c r="F2098" s="55"/>
      <c r="G2098" s="24">
        <v>130000</v>
      </c>
      <c r="H2098" s="24">
        <v>0</v>
      </c>
      <c r="I2098" s="24">
        <f t="shared" si="98"/>
        <v>130000</v>
      </c>
    </row>
    <row r="2099" spans="4:9" ht="12.75">
      <c r="D2099" s="5" t="s">
        <v>919</v>
      </c>
      <c r="E2099" s="55" t="s">
        <v>200</v>
      </c>
      <c r="F2099" s="55"/>
      <c r="G2099" s="24">
        <v>674000</v>
      </c>
      <c r="H2099" s="24">
        <v>0</v>
      </c>
      <c r="I2099" s="24">
        <f t="shared" si="98"/>
        <v>674000</v>
      </c>
    </row>
    <row r="2100" spans="4:9" ht="12.75">
      <c r="D2100" s="5" t="s">
        <v>913</v>
      </c>
      <c r="E2100" s="55" t="s">
        <v>881</v>
      </c>
      <c r="F2100" s="55"/>
      <c r="G2100" s="24">
        <v>3210000</v>
      </c>
      <c r="H2100" s="24">
        <v>0</v>
      </c>
      <c r="I2100" s="24">
        <f t="shared" si="98"/>
        <v>3210000</v>
      </c>
    </row>
    <row r="2101" spans="4:9" ht="12.75">
      <c r="D2101" s="5" t="s">
        <v>915</v>
      </c>
      <c r="E2101" s="55" t="s">
        <v>879</v>
      </c>
      <c r="F2101" s="55"/>
      <c r="G2101" s="24">
        <v>5671000</v>
      </c>
      <c r="H2101" s="24">
        <v>176000</v>
      </c>
      <c r="I2101" s="24">
        <f t="shared" si="98"/>
        <v>5847000</v>
      </c>
    </row>
    <row r="2102" spans="4:9" ht="12.75">
      <c r="D2102" s="5" t="s">
        <v>916</v>
      </c>
      <c r="E2102" s="55" t="s">
        <v>882</v>
      </c>
      <c r="F2102" s="55"/>
      <c r="G2102" s="24">
        <v>20597000</v>
      </c>
      <c r="H2102" s="24">
        <v>50360529.78</v>
      </c>
      <c r="I2102" s="24">
        <f t="shared" si="98"/>
        <v>70957529.78</v>
      </c>
    </row>
    <row r="2103" spans="5:9" ht="53.25" customHeight="1">
      <c r="E2103" s="55" t="s">
        <v>462</v>
      </c>
      <c r="F2103" s="55"/>
      <c r="I2103" s="24">
        <f t="shared" si="98"/>
        <v>0</v>
      </c>
    </row>
    <row r="2104" spans="4:9" ht="12.75">
      <c r="D2104" s="5" t="s">
        <v>923</v>
      </c>
      <c r="E2104" s="55" t="s">
        <v>883</v>
      </c>
      <c r="F2104" s="55"/>
      <c r="G2104" s="24">
        <v>7312000</v>
      </c>
      <c r="H2104" s="24">
        <v>2000000</v>
      </c>
      <c r="I2104" s="24">
        <f t="shared" si="98"/>
        <v>9312000</v>
      </c>
    </row>
    <row r="2105" spans="4:9" ht="12.75">
      <c r="D2105" s="5" t="s">
        <v>924</v>
      </c>
      <c r="E2105" s="55" t="s">
        <v>203</v>
      </c>
      <c r="F2105" s="55"/>
      <c r="G2105" s="24">
        <v>200000</v>
      </c>
      <c r="H2105" s="24">
        <v>0</v>
      </c>
      <c r="I2105" s="24">
        <f t="shared" si="98"/>
        <v>200000</v>
      </c>
    </row>
    <row r="2106" spans="4:9" ht="12.75">
      <c r="D2106" s="5" t="s">
        <v>925</v>
      </c>
      <c r="E2106" s="55" t="s">
        <v>884</v>
      </c>
      <c r="F2106" s="55"/>
      <c r="G2106" s="24">
        <v>6759000</v>
      </c>
      <c r="H2106" s="24">
        <v>0</v>
      </c>
      <c r="I2106" s="24">
        <f t="shared" si="98"/>
        <v>6759000</v>
      </c>
    </row>
    <row r="2107" spans="4:9" ht="12.75">
      <c r="D2107" s="5" t="s">
        <v>753</v>
      </c>
      <c r="E2107" s="55" t="s">
        <v>211</v>
      </c>
      <c r="F2107" s="55"/>
      <c r="G2107" s="24">
        <v>657000</v>
      </c>
      <c r="H2107" s="24">
        <v>0</v>
      </c>
      <c r="I2107" s="24">
        <f t="shared" si="98"/>
        <v>657000</v>
      </c>
    </row>
    <row r="2108" spans="4:9" ht="12.75">
      <c r="D2108" s="5" t="s">
        <v>754</v>
      </c>
      <c r="E2108" s="55" t="s">
        <v>212</v>
      </c>
      <c r="F2108" s="55"/>
      <c r="G2108" s="24">
        <v>364000</v>
      </c>
      <c r="H2108" s="24">
        <v>0</v>
      </c>
      <c r="I2108" s="24">
        <f t="shared" si="98"/>
        <v>364000</v>
      </c>
    </row>
    <row r="2109" spans="4:9" ht="12.75">
      <c r="D2109" s="5" t="s">
        <v>755</v>
      </c>
      <c r="E2109" s="55" t="s">
        <v>213</v>
      </c>
      <c r="F2109" s="55"/>
      <c r="G2109" s="24">
        <v>9000</v>
      </c>
      <c r="I2109" s="24">
        <f t="shared" si="98"/>
        <v>9000</v>
      </c>
    </row>
    <row r="2110" spans="4:9" ht="12.75">
      <c r="D2110" s="5" t="s">
        <v>926</v>
      </c>
      <c r="E2110" s="55" t="s">
        <v>885</v>
      </c>
      <c r="F2110" s="55"/>
      <c r="H2110" s="24">
        <v>951213886.95</v>
      </c>
      <c r="I2110" s="24">
        <f t="shared" si="98"/>
        <v>951213886.95</v>
      </c>
    </row>
    <row r="2111" spans="4:9" ht="13.5" thickBot="1">
      <c r="D2111" s="5" t="s">
        <v>927</v>
      </c>
      <c r="E2111" s="55" t="s">
        <v>886</v>
      </c>
      <c r="F2111" s="55"/>
      <c r="G2111" s="24">
        <v>1151000</v>
      </c>
      <c r="H2111" s="24">
        <v>90650000</v>
      </c>
      <c r="I2111" s="24">
        <f t="shared" si="98"/>
        <v>91801000</v>
      </c>
    </row>
    <row r="2112" spans="5:9" ht="12.75">
      <c r="E2112" s="58" t="s">
        <v>25</v>
      </c>
      <c r="F2112" s="58"/>
      <c r="G2112" s="25"/>
      <c r="H2112" s="25"/>
      <c r="I2112" s="25"/>
    </row>
    <row r="2113" spans="4:9" ht="12.75">
      <c r="D2113" s="5" t="s">
        <v>772</v>
      </c>
      <c r="E2113" s="55" t="s">
        <v>773</v>
      </c>
      <c r="F2113" s="55"/>
      <c r="G2113" s="24">
        <f>SUM(G2095:G2112)</f>
        <v>100559000</v>
      </c>
      <c r="I2113" s="24">
        <f aca="true" t="shared" si="99" ref="I2113:I2118">G2113+H2113</f>
        <v>100559000</v>
      </c>
    </row>
    <row r="2114" spans="4:9" ht="12.75">
      <c r="D2114" s="5" t="s">
        <v>784</v>
      </c>
      <c r="E2114" s="55" t="s">
        <v>785</v>
      </c>
      <c r="F2114" s="55"/>
      <c r="H2114" s="24">
        <v>37131068</v>
      </c>
      <c r="I2114" s="24">
        <f t="shared" si="99"/>
        <v>37131068</v>
      </c>
    </row>
    <row r="2115" spans="4:9" ht="12.75">
      <c r="D2115" s="5" t="s">
        <v>778</v>
      </c>
      <c r="E2115" s="55" t="s">
        <v>779</v>
      </c>
      <c r="F2115" s="55"/>
      <c r="H2115" s="24">
        <v>95202485.25</v>
      </c>
      <c r="I2115" s="24">
        <f t="shared" si="99"/>
        <v>95202485.25</v>
      </c>
    </row>
    <row r="2116" spans="4:9" ht="12.75">
      <c r="D2116" s="5" t="s">
        <v>780</v>
      </c>
      <c r="E2116" s="55" t="s">
        <v>781</v>
      </c>
      <c r="F2116" s="55"/>
      <c r="H2116" s="24">
        <v>1250000</v>
      </c>
      <c r="I2116" s="24">
        <f t="shared" si="99"/>
        <v>1250000</v>
      </c>
    </row>
    <row r="2117" spans="4:9" ht="13.5" thickBot="1">
      <c r="D2117" s="5" t="s">
        <v>790</v>
      </c>
      <c r="E2117" s="55" t="s">
        <v>791</v>
      </c>
      <c r="F2117" s="55"/>
      <c r="H2117" s="24">
        <v>960816863.48</v>
      </c>
      <c r="I2117" s="24">
        <f t="shared" si="99"/>
        <v>960816863.48</v>
      </c>
    </row>
    <row r="2118" spans="5:9" ht="13.5" thickBot="1">
      <c r="E2118" s="56" t="s">
        <v>26</v>
      </c>
      <c r="F2118" s="56"/>
      <c r="G2118" s="26">
        <f>SUM(G2113:G2117)</f>
        <v>100559000</v>
      </c>
      <c r="H2118" s="26">
        <f>SUM(H2113:H2117)</f>
        <v>1094400416.73</v>
      </c>
      <c r="I2118" s="26">
        <f t="shared" si="99"/>
        <v>1194959416.73</v>
      </c>
    </row>
    <row r="2119" spans="5:9" ht="12.75">
      <c r="E2119" s="58" t="s">
        <v>344</v>
      </c>
      <c r="F2119" s="58"/>
      <c r="G2119" s="25"/>
      <c r="H2119" s="25"/>
      <c r="I2119" s="25"/>
    </row>
    <row r="2120" spans="4:9" ht="12.75">
      <c r="D2120" s="5" t="s">
        <v>772</v>
      </c>
      <c r="E2120" s="55" t="s">
        <v>773</v>
      </c>
      <c r="F2120" s="55"/>
      <c r="G2120" s="24">
        <f>+G2113</f>
        <v>100559000</v>
      </c>
      <c r="H2120" s="24">
        <v>0</v>
      </c>
      <c r="I2120" s="24">
        <f aca="true" t="shared" si="100" ref="I2120:I2125">G2120+H2120</f>
        <v>100559000</v>
      </c>
    </row>
    <row r="2121" spans="4:9" ht="12.75">
      <c r="D2121" s="5" t="s">
        <v>784</v>
      </c>
      <c r="E2121" s="55" t="s">
        <v>785</v>
      </c>
      <c r="F2121" s="55"/>
      <c r="G2121" s="24">
        <v>0</v>
      </c>
      <c r="H2121" s="24">
        <f>+H2114</f>
        <v>37131068</v>
      </c>
      <c r="I2121" s="24">
        <f t="shared" si="100"/>
        <v>37131068</v>
      </c>
    </row>
    <row r="2122" spans="4:9" ht="12.75">
      <c r="D2122" s="5" t="s">
        <v>778</v>
      </c>
      <c r="E2122" s="55" t="s">
        <v>779</v>
      </c>
      <c r="F2122" s="55"/>
      <c r="G2122" s="24">
        <v>0</v>
      </c>
      <c r="H2122" s="24">
        <f>+H2115</f>
        <v>95202485.25</v>
      </c>
      <c r="I2122" s="24">
        <f t="shared" si="100"/>
        <v>95202485.25</v>
      </c>
    </row>
    <row r="2123" spans="4:9" ht="12.75">
      <c r="D2123" s="5" t="s">
        <v>780</v>
      </c>
      <c r="E2123" s="55" t="s">
        <v>781</v>
      </c>
      <c r="F2123" s="55"/>
      <c r="G2123" s="24">
        <v>0</v>
      </c>
      <c r="H2123" s="24">
        <f>+H2116</f>
        <v>1250000</v>
      </c>
      <c r="I2123" s="24">
        <f t="shared" si="100"/>
        <v>1250000</v>
      </c>
    </row>
    <row r="2124" spans="4:9" ht="13.5" thickBot="1">
      <c r="D2124" s="5" t="s">
        <v>790</v>
      </c>
      <c r="E2124" s="55" t="s">
        <v>791</v>
      </c>
      <c r="F2124" s="55"/>
      <c r="G2124" s="24">
        <v>0</v>
      </c>
      <c r="H2124" s="24">
        <f>+H2117</f>
        <v>960816863.48</v>
      </c>
      <c r="I2124" s="24">
        <f t="shared" si="100"/>
        <v>960816863.48</v>
      </c>
    </row>
    <row r="2125" spans="5:9" ht="13.5" thickBot="1">
      <c r="E2125" s="56" t="s">
        <v>345</v>
      </c>
      <c r="F2125" s="56"/>
      <c r="G2125" s="26">
        <f>SUM(G2120:G2124)</f>
        <v>100559000</v>
      </c>
      <c r="H2125" s="26">
        <f>SUM(H2120:H2124)</f>
        <v>1094400416.73</v>
      </c>
      <c r="I2125" s="26">
        <f t="shared" si="100"/>
        <v>1194959416.73</v>
      </c>
    </row>
    <row r="2127" spans="1:6" ht="12.75">
      <c r="A2127" s="8" t="s">
        <v>766</v>
      </c>
      <c r="B2127" s="9" t="s">
        <v>258</v>
      </c>
      <c r="C2127" s="8"/>
      <c r="D2127" s="9"/>
      <c r="E2127" s="57" t="s">
        <v>239</v>
      </c>
      <c r="F2127" s="57"/>
    </row>
    <row r="2128" spans="1:6" ht="12.75">
      <c r="A2128" s="8"/>
      <c r="B2128" s="9"/>
      <c r="C2128" s="8" t="s">
        <v>851</v>
      </c>
      <c r="D2128" s="9"/>
      <c r="E2128" s="57" t="s">
        <v>852</v>
      </c>
      <c r="F2128" s="57"/>
    </row>
    <row r="2129" spans="4:9" ht="12.75">
      <c r="D2129" s="5" t="s">
        <v>911</v>
      </c>
      <c r="E2129" s="55" t="s">
        <v>199</v>
      </c>
      <c r="F2129" s="55"/>
      <c r="G2129" s="24">
        <v>3379113000</v>
      </c>
      <c r="H2129" s="24">
        <v>32964000</v>
      </c>
      <c r="I2129" s="24">
        <f aca="true" t="shared" si="101" ref="I2129:I2155">G2129+H2129</f>
        <v>3412077000</v>
      </c>
    </row>
    <row r="2130" spans="4:9" ht="12.75">
      <c r="D2130" s="5" t="s">
        <v>912</v>
      </c>
      <c r="E2130" s="55" t="s">
        <v>877</v>
      </c>
      <c r="F2130" s="55"/>
      <c r="G2130" s="24">
        <v>608742000</v>
      </c>
      <c r="H2130" s="24">
        <v>7254000</v>
      </c>
      <c r="I2130" s="24">
        <f t="shared" si="101"/>
        <v>615996000</v>
      </c>
    </row>
    <row r="2131" spans="4:9" ht="12.75">
      <c r="D2131" s="5" t="s">
        <v>918</v>
      </c>
      <c r="E2131" s="55" t="s">
        <v>878</v>
      </c>
      <c r="F2131" s="55"/>
      <c r="G2131" s="24">
        <v>0</v>
      </c>
      <c r="H2131" s="24">
        <v>169118000</v>
      </c>
      <c r="I2131" s="24">
        <f t="shared" si="101"/>
        <v>169118000</v>
      </c>
    </row>
    <row r="2132" spans="4:9" ht="12.75">
      <c r="D2132" s="5" t="s">
        <v>921</v>
      </c>
      <c r="E2132" s="55" t="s">
        <v>880</v>
      </c>
      <c r="F2132" s="55"/>
      <c r="G2132" s="24">
        <v>15854000</v>
      </c>
      <c r="H2132" s="24">
        <v>60852000</v>
      </c>
      <c r="I2132" s="24">
        <f t="shared" si="101"/>
        <v>76706000</v>
      </c>
    </row>
    <row r="2133" spans="4:9" ht="12.75">
      <c r="D2133" s="5" t="s">
        <v>919</v>
      </c>
      <c r="E2133" s="55" t="s">
        <v>200</v>
      </c>
      <c r="F2133" s="55"/>
      <c r="G2133" s="24">
        <v>210000</v>
      </c>
      <c r="H2133" s="24">
        <v>51872000</v>
      </c>
      <c r="I2133" s="24">
        <f t="shared" si="101"/>
        <v>52082000</v>
      </c>
    </row>
    <row r="2134" spans="4:9" ht="12.75">
      <c r="D2134" s="5" t="s">
        <v>922</v>
      </c>
      <c r="E2134" s="55" t="s">
        <v>201</v>
      </c>
      <c r="F2134" s="55"/>
      <c r="G2134" s="24">
        <v>810000</v>
      </c>
      <c r="H2134" s="24">
        <v>20058000</v>
      </c>
      <c r="I2134" s="24">
        <f t="shared" si="101"/>
        <v>20868000</v>
      </c>
    </row>
    <row r="2135" spans="4:9" ht="12.75">
      <c r="D2135" s="5" t="s">
        <v>913</v>
      </c>
      <c r="E2135" s="55" t="s">
        <v>881</v>
      </c>
      <c r="F2135" s="55"/>
      <c r="G2135" s="24">
        <v>1769000</v>
      </c>
      <c r="H2135" s="24">
        <v>780136000</v>
      </c>
      <c r="I2135" s="24">
        <f t="shared" si="101"/>
        <v>781905000</v>
      </c>
    </row>
    <row r="2136" spans="4:9" ht="12.75">
      <c r="D2136" s="5" t="s">
        <v>915</v>
      </c>
      <c r="E2136" s="55" t="s">
        <v>879</v>
      </c>
      <c r="F2136" s="55"/>
      <c r="G2136" s="24">
        <v>6195000</v>
      </c>
      <c r="H2136" s="24">
        <v>26208000</v>
      </c>
      <c r="I2136" s="24">
        <f t="shared" si="101"/>
        <v>32403000</v>
      </c>
    </row>
    <row r="2137" spans="4:9" ht="12.75">
      <c r="D2137" s="5" t="s">
        <v>916</v>
      </c>
      <c r="E2137" s="55" t="s">
        <v>882</v>
      </c>
      <c r="F2137" s="55"/>
      <c r="G2137" s="24">
        <f>4244000+15000000</f>
        <v>19244000</v>
      </c>
      <c r="H2137" s="24">
        <v>179838000</v>
      </c>
      <c r="I2137" s="24">
        <f t="shared" si="101"/>
        <v>199082000</v>
      </c>
    </row>
    <row r="2138" spans="4:9" ht="12.75">
      <c r="D2138" s="5" t="s">
        <v>923</v>
      </c>
      <c r="E2138" s="55" t="s">
        <v>883</v>
      </c>
      <c r="F2138" s="55"/>
      <c r="G2138" s="24">
        <v>11996000</v>
      </c>
      <c r="H2138" s="24">
        <v>86692000</v>
      </c>
      <c r="I2138" s="24">
        <f t="shared" si="101"/>
        <v>98688000</v>
      </c>
    </row>
    <row r="2139" spans="5:9" ht="27" customHeight="1">
      <c r="E2139" s="55" t="s">
        <v>629</v>
      </c>
      <c r="F2139" s="55"/>
      <c r="I2139" s="24">
        <f t="shared" si="101"/>
        <v>0</v>
      </c>
    </row>
    <row r="2140" spans="4:9" ht="12.75">
      <c r="D2140" s="5" t="s">
        <v>924</v>
      </c>
      <c r="E2140" s="55" t="s">
        <v>203</v>
      </c>
      <c r="F2140" s="55"/>
      <c r="G2140" s="24">
        <v>0</v>
      </c>
      <c r="H2140" s="24">
        <v>163750000</v>
      </c>
      <c r="I2140" s="24">
        <f t="shared" si="101"/>
        <v>163750000</v>
      </c>
    </row>
    <row r="2141" spans="4:9" ht="12.75">
      <c r="D2141" s="5" t="s">
        <v>925</v>
      </c>
      <c r="E2141" s="55" t="s">
        <v>884</v>
      </c>
      <c r="F2141" s="55"/>
      <c r="G2141" s="24">
        <v>2505000</v>
      </c>
      <c r="H2141" s="24">
        <v>253784000</v>
      </c>
      <c r="I2141" s="24">
        <f t="shared" si="101"/>
        <v>256289000</v>
      </c>
    </row>
    <row r="2142" spans="4:9" ht="12.75">
      <c r="D2142" s="5" t="s">
        <v>917</v>
      </c>
      <c r="E2142" s="55" t="s">
        <v>204</v>
      </c>
      <c r="F2142" s="55"/>
      <c r="G2142" s="24">
        <v>0</v>
      </c>
      <c r="H2142" s="24">
        <v>4882000</v>
      </c>
      <c r="I2142" s="24">
        <f t="shared" si="101"/>
        <v>4882000</v>
      </c>
    </row>
    <row r="2143" spans="4:9" ht="12.75">
      <c r="D2143" s="5" t="s">
        <v>746</v>
      </c>
      <c r="E2143" s="55" t="s">
        <v>206</v>
      </c>
      <c r="F2143" s="55"/>
      <c r="G2143" s="24">
        <v>0</v>
      </c>
      <c r="H2143" s="24">
        <v>128000</v>
      </c>
      <c r="I2143" s="24">
        <f t="shared" si="101"/>
        <v>128000</v>
      </c>
    </row>
    <row r="2144" spans="4:9" ht="12.75">
      <c r="D2144" s="5" t="s">
        <v>928</v>
      </c>
      <c r="E2144" s="55" t="s">
        <v>890</v>
      </c>
      <c r="F2144" s="55"/>
      <c r="G2144" s="24">
        <v>0</v>
      </c>
      <c r="H2144" s="24">
        <v>2000</v>
      </c>
      <c r="I2144" s="24">
        <f t="shared" si="101"/>
        <v>2000</v>
      </c>
    </row>
    <row r="2145" spans="4:9" ht="12.75">
      <c r="D2145" s="5" t="s">
        <v>930</v>
      </c>
      <c r="E2145" s="55" t="s">
        <v>209</v>
      </c>
      <c r="F2145" s="55"/>
      <c r="G2145" s="24">
        <v>1451310000</v>
      </c>
      <c r="H2145" s="24">
        <v>8000</v>
      </c>
      <c r="I2145" s="24">
        <f t="shared" si="101"/>
        <v>1451318000</v>
      </c>
    </row>
    <row r="2146" spans="4:9" ht="12.75">
      <c r="D2146" s="5" t="s">
        <v>750</v>
      </c>
      <c r="E2146" s="55" t="s">
        <v>887</v>
      </c>
      <c r="F2146" s="55"/>
      <c r="G2146" s="24">
        <v>305177000</v>
      </c>
      <c r="H2146" s="24">
        <v>15564000</v>
      </c>
      <c r="I2146" s="24">
        <f t="shared" si="101"/>
        <v>320741000</v>
      </c>
    </row>
    <row r="2147" spans="5:9" ht="28.5" customHeight="1">
      <c r="E2147" s="55" t="s">
        <v>284</v>
      </c>
      <c r="F2147" s="55"/>
      <c r="I2147" s="24">
        <f t="shared" si="101"/>
        <v>0</v>
      </c>
    </row>
    <row r="2148" spans="4:9" ht="12.75">
      <c r="D2148" s="5" t="s">
        <v>753</v>
      </c>
      <c r="E2148" s="55" t="s">
        <v>211</v>
      </c>
      <c r="F2148" s="55"/>
      <c r="G2148" s="24">
        <v>0</v>
      </c>
      <c r="H2148" s="24">
        <v>254000</v>
      </c>
      <c r="I2148" s="24">
        <f t="shared" si="101"/>
        <v>254000</v>
      </c>
    </row>
    <row r="2149" spans="4:9" ht="12.75">
      <c r="D2149" s="5" t="s">
        <v>754</v>
      </c>
      <c r="E2149" s="55" t="s">
        <v>212</v>
      </c>
      <c r="F2149" s="55"/>
      <c r="G2149" s="24">
        <v>0</v>
      </c>
      <c r="H2149" s="24">
        <v>640000</v>
      </c>
      <c r="I2149" s="24">
        <f t="shared" si="101"/>
        <v>640000</v>
      </c>
    </row>
    <row r="2150" spans="4:9" ht="12.75">
      <c r="D2150" s="5" t="s">
        <v>755</v>
      </c>
      <c r="E2150" s="55" t="s">
        <v>213</v>
      </c>
      <c r="F2150" s="55"/>
      <c r="G2150" s="24">
        <v>2984000</v>
      </c>
      <c r="H2150" s="24">
        <v>1122000</v>
      </c>
      <c r="I2150" s="24">
        <f t="shared" si="101"/>
        <v>4106000</v>
      </c>
    </row>
    <row r="2151" spans="4:9" ht="12.75">
      <c r="D2151" s="5" t="s">
        <v>926</v>
      </c>
      <c r="E2151" s="55" t="s">
        <v>885</v>
      </c>
      <c r="F2151" s="55"/>
      <c r="G2151" s="24">
        <v>13824000</v>
      </c>
      <c r="H2151" s="24">
        <v>325378000</v>
      </c>
      <c r="I2151" s="24">
        <f t="shared" si="101"/>
        <v>339202000</v>
      </c>
    </row>
    <row r="2152" spans="4:9" ht="12.75">
      <c r="D2152" s="5" t="s">
        <v>927</v>
      </c>
      <c r="E2152" s="55" t="s">
        <v>886</v>
      </c>
      <c r="F2152" s="55"/>
      <c r="G2152" s="24">
        <v>112000</v>
      </c>
      <c r="H2152" s="24">
        <v>33094000</v>
      </c>
      <c r="I2152" s="24">
        <f t="shared" si="101"/>
        <v>33206000</v>
      </c>
    </row>
    <row r="2153" spans="4:9" ht="12.75">
      <c r="D2153" s="5" t="s">
        <v>214</v>
      </c>
      <c r="E2153" s="55" t="s">
        <v>215</v>
      </c>
      <c r="F2153" s="55"/>
      <c r="G2153" s="24">
        <v>0</v>
      </c>
      <c r="H2153" s="24">
        <v>1758000</v>
      </c>
      <c r="I2153" s="24">
        <f t="shared" si="101"/>
        <v>1758000</v>
      </c>
    </row>
    <row r="2154" spans="4:9" ht="12.75">
      <c r="D2154" s="5" t="s">
        <v>935</v>
      </c>
      <c r="E2154" s="55" t="s">
        <v>899</v>
      </c>
      <c r="F2154" s="55"/>
      <c r="G2154" s="24">
        <v>0</v>
      </c>
      <c r="H2154" s="24">
        <v>1084000</v>
      </c>
      <c r="I2154" s="24">
        <f t="shared" si="101"/>
        <v>1084000</v>
      </c>
    </row>
    <row r="2155" spans="4:9" ht="13.5" thickBot="1">
      <c r="D2155" s="5" t="s">
        <v>937</v>
      </c>
      <c r="E2155" s="55" t="s">
        <v>892</v>
      </c>
      <c r="F2155" s="55"/>
      <c r="G2155" s="24">
        <v>0</v>
      </c>
      <c r="H2155" s="24">
        <v>768000</v>
      </c>
      <c r="I2155" s="24">
        <f t="shared" si="101"/>
        <v>768000</v>
      </c>
    </row>
    <row r="2156" spans="5:9" ht="12.75">
      <c r="E2156" s="58" t="s">
        <v>57</v>
      </c>
      <c r="F2156" s="58"/>
      <c r="G2156" s="25"/>
      <c r="H2156" s="25"/>
      <c r="I2156" s="25"/>
    </row>
    <row r="2157" spans="4:9" ht="12.75">
      <c r="D2157" s="5" t="s">
        <v>772</v>
      </c>
      <c r="E2157" s="55" t="s">
        <v>773</v>
      </c>
      <c r="F2157" s="55"/>
      <c r="G2157" s="24">
        <f>SUM(G2129:G2156)</f>
        <v>5819845000</v>
      </c>
      <c r="I2157" s="24">
        <f aca="true" t="shared" si="102" ref="I2157:I2165">G2157+H2157</f>
        <v>5819845000</v>
      </c>
    </row>
    <row r="2158" spans="4:9" ht="12.75">
      <c r="D2158" s="5" t="s">
        <v>784</v>
      </c>
      <c r="E2158" s="55" t="s">
        <v>785</v>
      </c>
      <c r="F2158" s="55"/>
      <c r="H2158" s="24">
        <v>430352000</v>
      </c>
      <c r="I2158" s="24">
        <f t="shared" si="102"/>
        <v>430352000</v>
      </c>
    </row>
    <row r="2159" spans="4:9" ht="12.75">
      <c r="D2159" s="5" t="s">
        <v>778</v>
      </c>
      <c r="E2159" s="55" t="s">
        <v>779</v>
      </c>
      <c r="F2159" s="55"/>
      <c r="H2159" s="24">
        <v>11308000</v>
      </c>
      <c r="I2159" s="24">
        <f t="shared" si="102"/>
        <v>11308000</v>
      </c>
    </row>
    <row r="2160" spans="4:9" ht="12.75">
      <c r="D2160" s="5" t="s">
        <v>780</v>
      </c>
      <c r="E2160" s="55" t="s">
        <v>781</v>
      </c>
      <c r="F2160" s="55"/>
      <c r="H2160" s="24">
        <v>18418000</v>
      </c>
      <c r="I2160" s="24">
        <f t="shared" si="102"/>
        <v>18418000</v>
      </c>
    </row>
    <row r="2161" spans="4:9" ht="12.75">
      <c r="D2161" s="5" t="s">
        <v>853</v>
      </c>
      <c r="E2161" s="55" t="s">
        <v>854</v>
      </c>
      <c r="F2161" s="55"/>
      <c r="H2161" s="24">
        <v>1653764000</v>
      </c>
      <c r="I2161" s="24">
        <f t="shared" si="102"/>
        <v>1653764000</v>
      </c>
    </row>
    <row r="2162" spans="4:9" ht="12.75">
      <c r="D2162" s="5" t="s">
        <v>796</v>
      </c>
      <c r="E2162" s="55" t="s">
        <v>797</v>
      </c>
      <c r="F2162" s="55"/>
      <c r="H2162" s="24">
        <v>22598000</v>
      </c>
      <c r="I2162" s="24">
        <f t="shared" si="102"/>
        <v>22598000</v>
      </c>
    </row>
    <row r="2163" spans="4:9" ht="12.75">
      <c r="D2163" s="5" t="s">
        <v>786</v>
      </c>
      <c r="E2163" s="55" t="s">
        <v>787</v>
      </c>
      <c r="F2163" s="55"/>
      <c r="H2163" s="24">
        <v>768000</v>
      </c>
      <c r="I2163" s="24">
        <f t="shared" si="102"/>
        <v>768000</v>
      </c>
    </row>
    <row r="2164" spans="4:9" ht="13.5" thickBot="1">
      <c r="D2164" s="5" t="s">
        <v>790</v>
      </c>
      <c r="E2164" s="55" t="s">
        <v>791</v>
      </c>
      <c r="F2164" s="55"/>
      <c r="H2164" s="24">
        <v>80000000</v>
      </c>
      <c r="I2164" s="24">
        <f t="shared" si="102"/>
        <v>80000000</v>
      </c>
    </row>
    <row r="2165" spans="5:9" ht="13.5" thickBot="1">
      <c r="E2165" s="56" t="s">
        <v>58</v>
      </c>
      <c r="F2165" s="56"/>
      <c r="G2165" s="26">
        <f>SUM(G2157:G2164)</f>
        <v>5819845000</v>
      </c>
      <c r="H2165" s="26">
        <f>SUM(H2157:H2164)</f>
        <v>2217208000</v>
      </c>
      <c r="I2165" s="26">
        <f t="shared" si="102"/>
        <v>8037053000</v>
      </c>
    </row>
    <row r="2166" spans="5:9" ht="12.75">
      <c r="E2166" s="58" t="s">
        <v>383</v>
      </c>
      <c r="F2166" s="58"/>
      <c r="G2166" s="25"/>
      <c r="H2166" s="25"/>
      <c r="I2166" s="25"/>
    </row>
    <row r="2167" spans="4:9" ht="12.75">
      <c r="D2167" s="5" t="s">
        <v>772</v>
      </c>
      <c r="E2167" s="55" t="s">
        <v>773</v>
      </c>
      <c r="F2167" s="55"/>
      <c r="G2167" s="24">
        <f>+G2157</f>
        <v>5819845000</v>
      </c>
      <c r="H2167" s="24">
        <v>0</v>
      </c>
      <c r="I2167" s="24">
        <f aca="true" t="shared" si="103" ref="I2167:I2175">G2167+H2167</f>
        <v>5819845000</v>
      </c>
    </row>
    <row r="2168" spans="4:9" ht="12.75">
      <c r="D2168" s="5" t="s">
        <v>784</v>
      </c>
      <c r="E2168" s="55" t="s">
        <v>785</v>
      </c>
      <c r="F2168" s="55"/>
      <c r="G2168" s="24">
        <v>0</v>
      </c>
      <c r="H2168" s="24">
        <f aca="true" t="shared" si="104" ref="H2168:H2174">+H2158</f>
        <v>430352000</v>
      </c>
      <c r="I2168" s="24">
        <f t="shared" si="103"/>
        <v>430352000</v>
      </c>
    </row>
    <row r="2169" spans="4:9" ht="12.75">
      <c r="D2169" s="5" t="s">
        <v>778</v>
      </c>
      <c r="E2169" s="55" t="s">
        <v>779</v>
      </c>
      <c r="F2169" s="55"/>
      <c r="G2169" s="24">
        <v>0</v>
      </c>
      <c r="H2169" s="24">
        <f t="shared" si="104"/>
        <v>11308000</v>
      </c>
      <c r="I2169" s="24">
        <f t="shared" si="103"/>
        <v>11308000</v>
      </c>
    </row>
    <row r="2170" spans="4:9" ht="12.75">
      <c r="D2170" s="5" t="s">
        <v>780</v>
      </c>
      <c r="E2170" s="55" t="s">
        <v>781</v>
      </c>
      <c r="F2170" s="55"/>
      <c r="G2170" s="24">
        <v>0</v>
      </c>
      <c r="H2170" s="24">
        <f t="shared" si="104"/>
        <v>18418000</v>
      </c>
      <c r="I2170" s="24">
        <f t="shared" si="103"/>
        <v>18418000</v>
      </c>
    </row>
    <row r="2171" spans="4:9" ht="12.75">
      <c r="D2171" s="5" t="s">
        <v>853</v>
      </c>
      <c r="E2171" s="55" t="s">
        <v>854</v>
      </c>
      <c r="F2171" s="55"/>
      <c r="G2171" s="24">
        <v>0</v>
      </c>
      <c r="H2171" s="24">
        <f t="shared" si="104"/>
        <v>1653764000</v>
      </c>
      <c r="I2171" s="24">
        <f t="shared" si="103"/>
        <v>1653764000</v>
      </c>
    </row>
    <row r="2172" spans="4:9" ht="12.75">
      <c r="D2172" s="5" t="s">
        <v>796</v>
      </c>
      <c r="E2172" s="55" t="s">
        <v>797</v>
      </c>
      <c r="F2172" s="55"/>
      <c r="G2172" s="24">
        <v>0</v>
      </c>
      <c r="H2172" s="24">
        <f t="shared" si="104"/>
        <v>22598000</v>
      </c>
      <c r="I2172" s="24">
        <f t="shared" si="103"/>
        <v>22598000</v>
      </c>
    </row>
    <row r="2173" spans="4:9" ht="12.75">
      <c r="D2173" s="5" t="s">
        <v>786</v>
      </c>
      <c r="E2173" s="55" t="s">
        <v>787</v>
      </c>
      <c r="F2173" s="55"/>
      <c r="G2173" s="24">
        <v>0</v>
      </c>
      <c r="H2173" s="24">
        <f t="shared" si="104"/>
        <v>768000</v>
      </c>
      <c r="I2173" s="24">
        <f t="shared" si="103"/>
        <v>768000</v>
      </c>
    </row>
    <row r="2174" spans="4:9" ht="13.5" thickBot="1">
      <c r="D2174" s="5" t="s">
        <v>790</v>
      </c>
      <c r="E2174" s="55" t="s">
        <v>791</v>
      </c>
      <c r="F2174" s="55"/>
      <c r="G2174" s="24">
        <v>0</v>
      </c>
      <c r="H2174" s="24">
        <f t="shared" si="104"/>
        <v>80000000</v>
      </c>
      <c r="I2174" s="24">
        <f t="shared" si="103"/>
        <v>80000000</v>
      </c>
    </row>
    <row r="2175" spans="5:9" ht="13.5" thickBot="1">
      <c r="E2175" s="56" t="s">
        <v>384</v>
      </c>
      <c r="F2175" s="56"/>
      <c r="G2175" s="26">
        <f>SUM(G2167:G2174)</f>
        <v>5819845000</v>
      </c>
      <c r="H2175" s="26">
        <f>SUM(H2167:H2174)</f>
        <v>2217208000</v>
      </c>
      <c r="I2175" s="26">
        <f t="shared" si="103"/>
        <v>8037053000</v>
      </c>
    </row>
    <row r="2176" ht="9.75" customHeight="1"/>
    <row r="2177" spans="1:6" ht="12.75">
      <c r="A2177" s="8" t="s">
        <v>766</v>
      </c>
      <c r="B2177" s="9" t="s">
        <v>260</v>
      </c>
      <c r="C2177" s="8"/>
      <c r="D2177" s="9"/>
      <c r="E2177" s="57" t="s">
        <v>240</v>
      </c>
      <c r="F2177" s="57"/>
    </row>
    <row r="2178" spans="1:6" ht="12.75">
      <c r="A2178" s="8"/>
      <c r="B2178" s="9"/>
      <c r="C2178" s="8" t="s">
        <v>855</v>
      </c>
      <c r="D2178" s="9"/>
      <c r="E2178" s="57" t="s">
        <v>856</v>
      </c>
      <c r="F2178" s="57"/>
    </row>
    <row r="2179" spans="4:9" ht="12.75">
      <c r="D2179" s="5" t="s">
        <v>911</v>
      </c>
      <c r="E2179" s="55" t="s">
        <v>199</v>
      </c>
      <c r="F2179" s="55"/>
      <c r="G2179" s="24">
        <v>1645445000</v>
      </c>
      <c r="H2179" s="24">
        <v>118672000</v>
      </c>
      <c r="I2179" s="24">
        <f aca="true" t="shared" si="105" ref="I2179:I2198">G2179+H2179</f>
        <v>1764117000</v>
      </c>
    </row>
    <row r="2180" spans="4:9" ht="12.75">
      <c r="D2180" s="5" t="s">
        <v>912</v>
      </c>
      <c r="E2180" s="55" t="s">
        <v>877</v>
      </c>
      <c r="F2180" s="55"/>
      <c r="G2180" s="24">
        <v>311799000</v>
      </c>
      <c r="H2180" s="24">
        <v>20728000</v>
      </c>
      <c r="I2180" s="24">
        <f t="shared" si="105"/>
        <v>332527000</v>
      </c>
    </row>
    <row r="2181" spans="4:9" ht="12.75">
      <c r="D2181" s="5" t="s">
        <v>918</v>
      </c>
      <c r="E2181" s="55" t="s">
        <v>878</v>
      </c>
      <c r="F2181" s="55"/>
      <c r="G2181" s="24">
        <v>25000</v>
      </c>
      <c r="H2181" s="24">
        <v>70629000</v>
      </c>
      <c r="I2181" s="24">
        <f t="shared" si="105"/>
        <v>70654000</v>
      </c>
    </row>
    <row r="2182" spans="4:9" ht="12.75">
      <c r="D2182" s="5" t="s">
        <v>921</v>
      </c>
      <c r="E2182" s="55" t="s">
        <v>880</v>
      </c>
      <c r="F2182" s="55"/>
      <c r="G2182" s="24">
        <v>23658000</v>
      </c>
      <c r="H2182" s="24">
        <v>7606000</v>
      </c>
      <c r="I2182" s="24">
        <f t="shared" si="105"/>
        <v>31264000</v>
      </c>
    </row>
    <row r="2183" spans="4:9" ht="12.75">
      <c r="D2183" s="5" t="s">
        <v>919</v>
      </c>
      <c r="E2183" s="55" t="s">
        <v>200</v>
      </c>
      <c r="F2183" s="55"/>
      <c r="G2183" s="24">
        <v>175000</v>
      </c>
      <c r="H2183" s="24">
        <v>17503000</v>
      </c>
      <c r="I2183" s="24">
        <f t="shared" si="105"/>
        <v>17678000</v>
      </c>
    </row>
    <row r="2184" spans="4:9" ht="12.75">
      <c r="D2184" s="5" t="s">
        <v>922</v>
      </c>
      <c r="E2184" s="55" t="s">
        <v>201</v>
      </c>
      <c r="F2184" s="55"/>
      <c r="G2184" s="24">
        <v>276000</v>
      </c>
      <c r="H2184" s="24">
        <v>26895000</v>
      </c>
      <c r="I2184" s="24">
        <f t="shared" si="105"/>
        <v>27171000</v>
      </c>
    </row>
    <row r="2185" spans="4:9" ht="12.75">
      <c r="D2185" s="5" t="s">
        <v>913</v>
      </c>
      <c r="E2185" s="55" t="s">
        <v>881</v>
      </c>
      <c r="F2185" s="55"/>
      <c r="G2185" s="24">
        <v>763000</v>
      </c>
      <c r="H2185" s="24">
        <v>463082500</v>
      </c>
      <c r="I2185" s="24">
        <f t="shared" si="105"/>
        <v>463845500</v>
      </c>
    </row>
    <row r="2186" spans="4:9" ht="12.75">
      <c r="D2186" s="5" t="s">
        <v>915</v>
      </c>
      <c r="E2186" s="55" t="s">
        <v>879</v>
      </c>
      <c r="F2186" s="55"/>
      <c r="G2186" s="24">
        <v>3747000</v>
      </c>
      <c r="H2186" s="24">
        <v>3983000</v>
      </c>
      <c r="I2186" s="24">
        <f t="shared" si="105"/>
        <v>7730000</v>
      </c>
    </row>
    <row r="2187" spans="4:9" ht="12.75">
      <c r="D2187" s="5" t="s">
        <v>916</v>
      </c>
      <c r="E2187" s="55" t="s">
        <v>882</v>
      </c>
      <c r="F2187" s="55"/>
      <c r="G2187" s="24">
        <f>2584000+20000000</f>
        <v>22584000</v>
      </c>
      <c r="H2187" s="24">
        <v>59186000</v>
      </c>
      <c r="I2187" s="24">
        <f t="shared" si="105"/>
        <v>81770000</v>
      </c>
    </row>
    <row r="2188" spans="4:9" ht="12.75">
      <c r="D2188" s="5" t="s">
        <v>923</v>
      </c>
      <c r="E2188" s="55" t="s">
        <v>883</v>
      </c>
      <c r="F2188" s="55"/>
      <c r="G2188" s="24">
        <v>1151000</v>
      </c>
      <c r="H2188" s="24">
        <v>32741000</v>
      </c>
      <c r="I2188" s="24">
        <f t="shared" si="105"/>
        <v>33892000</v>
      </c>
    </row>
    <row r="2189" spans="4:9" ht="12.75">
      <c r="D2189" s="5" t="s">
        <v>924</v>
      </c>
      <c r="E2189" s="55" t="s">
        <v>203</v>
      </c>
      <c r="F2189" s="55"/>
      <c r="G2189" s="24">
        <v>44000</v>
      </c>
      <c r="H2189" s="24">
        <v>154690000</v>
      </c>
      <c r="I2189" s="24">
        <f t="shared" si="105"/>
        <v>154734000</v>
      </c>
    </row>
    <row r="2190" spans="4:9" ht="12.75">
      <c r="D2190" s="5" t="s">
        <v>925</v>
      </c>
      <c r="E2190" s="55" t="s">
        <v>884</v>
      </c>
      <c r="F2190" s="55"/>
      <c r="G2190" s="24">
        <f>5027000+5000000</f>
        <v>10027000</v>
      </c>
      <c r="H2190" s="24">
        <v>154695000</v>
      </c>
      <c r="I2190" s="24">
        <f t="shared" si="105"/>
        <v>164722000</v>
      </c>
    </row>
    <row r="2191" spans="4:9" ht="12.75">
      <c r="D2191" s="5" t="s">
        <v>930</v>
      </c>
      <c r="E2191" s="55" t="s">
        <v>209</v>
      </c>
      <c r="F2191" s="55"/>
      <c r="G2191" s="24">
        <v>627243000</v>
      </c>
      <c r="H2191" s="24">
        <v>0</v>
      </c>
      <c r="I2191" s="24">
        <f t="shared" si="105"/>
        <v>627243000</v>
      </c>
    </row>
    <row r="2192" spans="4:9" ht="12.75">
      <c r="D2192" s="5" t="s">
        <v>750</v>
      </c>
      <c r="E2192" s="55" t="s">
        <v>887</v>
      </c>
      <c r="F2192" s="55"/>
      <c r="G2192" s="24">
        <v>0</v>
      </c>
      <c r="H2192" s="24">
        <v>17554000</v>
      </c>
      <c r="I2192" s="24">
        <f t="shared" si="105"/>
        <v>17554000</v>
      </c>
    </row>
    <row r="2193" spans="4:9" ht="12.75">
      <c r="D2193" s="5" t="s">
        <v>753</v>
      </c>
      <c r="E2193" s="55" t="s">
        <v>211</v>
      </c>
      <c r="F2193" s="55"/>
      <c r="G2193" s="24">
        <v>0</v>
      </c>
      <c r="H2193" s="24">
        <v>126000</v>
      </c>
      <c r="I2193" s="24">
        <f t="shared" si="105"/>
        <v>126000</v>
      </c>
    </row>
    <row r="2194" spans="4:9" ht="12.75">
      <c r="D2194" s="5" t="s">
        <v>754</v>
      </c>
      <c r="E2194" s="55" t="s">
        <v>212</v>
      </c>
      <c r="F2194" s="55"/>
      <c r="G2194" s="24">
        <v>0</v>
      </c>
      <c r="H2194" s="24">
        <v>6164000</v>
      </c>
      <c r="I2194" s="24">
        <f t="shared" si="105"/>
        <v>6164000</v>
      </c>
    </row>
    <row r="2195" spans="4:9" ht="12.75">
      <c r="D2195" s="5" t="s">
        <v>755</v>
      </c>
      <c r="E2195" s="55" t="s">
        <v>213</v>
      </c>
      <c r="F2195" s="55"/>
      <c r="G2195" s="24">
        <v>1252000</v>
      </c>
      <c r="H2195" s="24">
        <v>1416000</v>
      </c>
      <c r="I2195" s="24">
        <f t="shared" si="105"/>
        <v>2668000</v>
      </c>
    </row>
    <row r="2196" spans="4:9" ht="12.75">
      <c r="D2196" s="5" t="s">
        <v>926</v>
      </c>
      <c r="E2196" s="55" t="s">
        <v>885</v>
      </c>
      <c r="F2196" s="55"/>
      <c r="G2196" s="24">
        <v>6800000</v>
      </c>
      <c r="H2196" s="24">
        <v>26616000</v>
      </c>
      <c r="I2196" s="24">
        <f t="shared" si="105"/>
        <v>33416000</v>
      </c>
    </row>
    <row r="2197" spans="4:9" ht="12.75">
      <c r="D2197" s="5" t="s">
        <v>927</v>
      </c>
      <c r="E2197" s="55" t="s">
        <v>886</v>
      </c>
      <c r="F2197" s="55"/>
      <c r="G2197" s="24">
        <v>0</v>
      </c>
      <c r="H2197" s="24">
        <v>7535000</v>
      </c>
      <c r="I2197" s="24">
        <f t="shared" si="105"/>
        <v>7535000</v>
      </c>
    </row>
    <row r="2198" spans="4:9" ht="13.5" thickBot="1">
      <c r="D2198" s="5" t="s">
        <v>214</v>
      </c>
      <c r="E2198" s="55" t="s">
        <v>215</v>
      </c>
      <c r="F2198" s="55"/>
      <c r="G2198" s="24">
        <v>0</v>
      </c>
      <c r="H2198" s="24">
        <v>678000</v>
      </c>
      <c r="I2198" s="24">
        <f t="shared" si="105"/>
        <v>678000</v>
      </c>
    </row>
    <row r="2199" spans="5:9" ht="12.75">
      <c r="E2199" s="58" t="s">
        <v>59</v>
      </c>
      <c r="F2199" s="58"/>
      <c r="G2199" s="25"/>
      <c r="H2199" s="25"/>
      <c r="I2199" s="25"/>
    </row>
    <row r="2200" spans="4:9" ht="12.75">
      <c r="D2200" s="5" t="s">
        <v>772</v>
      </c>
      <c r="E2200" s="55" t="s">
        <v>773</v>
      </c>
      <c r="F2200" s="55"/>
      <c r="G2200" s="24">
        <f>SUM(G2179:G2199)</f>
        <v>2654989000</v>
      </c>
      <c r="I2200" s="24">
        <f aca="true" t="shared" si="106" ref="I2200:I2207">G2200+H2200</f>
        <v>2654989000</v>
      </c>
    </row>
    <row r="2201" spans="4:9" ht="12.75">
      <c r="D2201" s="5" t="s">
        <v>784</v>
      </c>
      <c r="E2201" s="55" t="s">
        <v>785</v>
      </c>
      <c r="F2201" s="55"/>
      <c r="H2201" s="24">
        <v>307236000</v>
      </c>
      <c r="I2201" s="24">
        <f t="shared" si="106"/>
        <v>307236000</v>
      </c>
    </row>
    <row r="2202" spans="4:9" ht="12.75">
      <c r="D2202" s="5" t="s">
        <v>778</v>
      </c>
      <c r="E2202" s="55" t="s">
        <v>779</v>
      </c>
      <c r="F2202" s="55"/>
      <c r="H2202" s="24">
        <v>1768500</v>
      </c>
      <c r="I2202" s="24">
        <f t="shared" si="106"/>
        <v>1768500</v>
      </c>
    </row>
    <row r="2203" spans="4:9" ht="12.75">
      <c r="D2203" s="5" t="s">
        <v>780</v>
      </c>
      <c r="E2203" s="55" t="s">
        <v>781</v>
      </c>
      <c r="F2203" s="55"/>
      <c r="H2203" s="24">
        <v>8013000</v>
      </c>
      <c r="I2203" s="24">
        <f t="shared" si="106"/>
        <v>8013000</v>
      </c>
    </row>
    <row r="2204" spans="4:9" ht="12.75">
      <c r="D2204" s="5" t="s">
        <v>853</v>
      </c>
      <c r="E2204" s="55" t="s">
        <v>854</v>
      </c>
      <c r="F2204" s="55"/>
      <c r="H2204" s="24">
        <v>858829000</v>
      </c>
      <c r="I2204" s="24">
        <f t="shared" si="106"/>
        <v>858829000</v>
      </c>
    </row>
    <row r="2205" spans="4:9" ht="12.75">
      <c r="D2205" s="5" t="s">
        <v>796</v>
      </c>
      <c r="E2205" s="55" t="s">
        <v>797</v>
      </c>
      <c r="F2205" s="55"/>
      <c r="H2205" s="24">
        <v>3815000</v>
      </c>
      <c r="I2205" s="24">
        <f t="shared" si="106"/>
        <v>3815000</v>
      </c>
    </row>
    <row r="2206" spans="4:9" ht="13.5" thickBot="1">
      <c r="D2206" s="5" t="s">
        <v>790</v>
      </c>
      <c r="E2206" s="55" t="s">
        <v>791</v>
      </c>
      <c r="F2206" s="55"/>
      <c r="H2206" s="24">
        <v>10838000</v>
      </c>
      <c r="I2206" s="24">
        <f t="shared" si="106"/>
        <v>10838000</v>
      </c>
    </row>
    <row r="2207" spans="5:9" ht="13.5" thickBot="1">
      <c r="E2207" s="56" t="s">
        <v>60</v>
      </c>
      <c r="F2207" s="56"/>
      <c r="G2207" s="26">
        <f>SUM(G2200:G2206)</f>
        <v>2654989000</v>
      </c>
      <c r="H2207" s="26">
        <f>SUM(H2200:H2206)</f>
        <v>1190499500</v>
      </c>
      <c r="I2207" s="26">
        <f t="shared" si="106"/>
        <v>3845488500</v>
      </c>
    </row>
    <row r="2208" spans="5:9" ht="12.75">
      <c r="E2208" s="58" t="s">
        <v>387</v>
      </c>
      <c r="F2208" s="58"/>
      <c r="G2208" s="25"/>
      <c r="H2208" s="25"/>
      <c r="I2208" s="25"/>
    </row>
    <row r="2209" spans="4:9" ht="12.75">
      <c r="D2209" s="5" t="s">
        <v>772</v>
      </c>
      <c r="E2209" s="55" t="s">
        <v>773</v>
      </c>
      <c r="F2209" s="55"/>
      <c r="G2209" s="24">
        <f>+G2200</f>
        <v>2654989000</v>
      </c>
      <c r="H2209" s="24">
        <v>0</v>
      </c>
      <c r="I2209" s="24">
        <f aca="true" t="shared" si="107" ref="I2209:I2216">G2209+H2209</f>
        <v>2654989000</v>
      </c>
    </row>
    <row r="2210" spans="4:9" ht="12.75">
      <c r="D2210" s="5" t="s">
        <v>784</v>
      </c>
      <c r="E2210" s="55" t="s">
        <v>785</v>
      </c>
      <c r="F2210" s="55"/>
      <c r="G2210" s="24">
        <v>0</v>
      </c>
      <c r="H2210" s="24">
        <f aca="true" t="shared" si="108" ref="H2210:H2215">+H2201</f>
        <v>307236000</v>
      </c>
      <c r="I2210" s="24">
        <f t="shared" si="107"/>
        <v>307236000</v>
      </c>
    </row>
    <row r="2211" spans="4:9" ht="12.75">
      <c r="D2211" s="5" t="s">
        <v>778</v>
      </c>
      <c r="E2211" s="55" t="s">
        <v>779</v>
      </c>
      <c r="F2211" s="55"/>
      <c r="G2211" s="24">
        <v>0</v>
      </c>
      <c r="H2211" s="24">
        <f t="shared" si="108"/>
        <v>1768500</v>
      </c>
      <c r="I2211" s="24">
        <f t="shared" si="107"/>
        <v>1768500</v>
      </c>
    </row>
    <row r="2212" spans="4:9" ht="12.75">
      <c r="D2212" s="5" t="s">
        <v>780</v>
      </c>
      <c r="E2212" s="55" t="s">
        <v>781</v>
      </c>
      <c r="F2212" s="55"/>
      <c r="G2212" s="24">
        <v>0</v>
      </c>
      <c r="H2212" s="24">
        <f t="shared" si="108"/>
        <v>8013000</v>
      </c>
      <c r="I2212" s="24">
        <f t="shared" si="107"/>
        <v>8013000</v>
      </c>
    </row>
    <row r="2213" spans="4:9" ht="12.75">
      <c r="D2213" s="5" t="s">
        <v>853</v>
      </c>
      <c r="E2213" s="55" t="s">
        <v>854</v>
      </c>
      <c r="F2213" s="55"/>
      <c r="G2213" s="24">
        <v>0</v>
      </c>
      <c r="H2213" s="24">
        <f t="shared" si="108"/>
        <v>858829000</v>
      </c>
      <c r="I2213" s="24">
        <f t="shared" si="107"/>
        <v>858829000</v>
      </c>
    </row>
    <row r="2214" spans="4:9" ht="12.75">
      <c r="D2214" s="5" t="s">
        <v>796</v>
      </c>
      <c r="E2214" s="55" t="s">
        <v>797</v>
      </c>
      <c r="F2214" s="55"/>
      <c r="G2214" s="24">
        <v>0</v>
      </c>
      <c r="H2214" s="24">
        <f t="shared" si="108"/>
        <v>3815000</v>
      </c>
      <c r="I2214" s="24">
        <f t="shared" si="107"/>
        <v>3815000</v>
      </c>
    </row>
    <row r="2215" spans="4:9" ht="13.5" thickBot="1">
      <c r="D2215" s="5" t="s">
        <v>790</v>
      </c>
      <c r="E2215" s="55" t="s">
        <v>791</v>
      </c>
      <c r="F2215" s="55"/>
      <c r="G2215" s="24">
        <v>0</v>
      </c>
      <c r="H2215" s="24">
        <f t="shared" si="108"/>
        <v>10838000</v>
      </c>
      <c r="I2215" s="24">
        <f t="shared" si="107"/>
        <v>10838000</v>
      </c>
    </row>
    <row r="2216" spans="5:9" ht="13.5" thickBot="1">
      <c r="E2216" s="56" t="s">
        <v>388</v>
      </c>
      <c r="F2216" s="56"/>
      <c r="G2216" s="26">
        <f>SUM(G2209:G2215)</f>
        <v>2654989000</v>
      </c>
      <c r="H2216" s="26">
        <f>SUM(H2209:H2215)</f>
        <v>1190499500</v>
      </c>
      <c r="I2216" s="26">
        <f t="shared" si="107"/>
        <v>3845488500</v>
      </c>
    </row>
    <row r="2217" ht="6.75" customHeight="1"/>
    <row r="2218" spans="1:6" ht="12.75">
      <c r="A2218" s="8" t="s">
        <v>766</v>
      </c>
      <c r="B2218" s="9" t="s">
        <v>550</v>
      </c>
      <c r="C2218" s="8"/>
      <c r="D2218" s="9"/>
      <c r="E2218" s="57" t="s">
        <v>241</v>
      </c>
      <c r="F2218" s="57"/>
    </row>
    <row r="2219" spans="1:6" ht="12.75">
      <c r="A2219" s="8"/>
      <c r="B2219" s="9"/>
      <c r="C2219" s="8" t="s">
        <v>857</v>
      </c>
      <c r="D2219" s="9"/>
      <c r="E2219" s="57" t="s">
        <v>858</v>
      </c>
      <c r="F2219" s="57"/>
    </row>
    <row r="2220" spans="4:9" ht="12.75">
      <c r="D2220" s="5" t="s">
        <v>911</v>
      </c>
      <c r="E2220" s="55" t="s">
        <v>199</v>
      </c>
      <c r="F2220" s="55"/>
      <c r="G2220" s="24">
        <v>58205000</v>
      </c>
      <c r="H2220" s="24">
        <v>29912000</v>
      </c>
      <c r="I2220" s="24">
        <f aca="true" t="shared" si="109" ref="I2220:I2242">G2220+H2220</f>
        <v>88117000</v>
      </c>
    </row>
    <row r="2221" spans="4:9" ht="12.75">
      <c r="D2221" s="5" t="s">
        <v>912</v>
      </c>
      <c r="E2221" s="55" t="s">
        <v>877</v>
      </c>
      <c r="F2221" s="55"/>
      <c r="G2221" s="24">
        <v>11163000</v>
      </c>
      <c r="H2221" s="24">
        <v>5354000</v>
      </c>
      <c r="I2221" s="24">
        <f t="shared" si="109"/>
        <v>16517000</v>
      </c>
    </row>
    <row r="2222" spans="4:9" ht="12.75">
      <c r="D2222" s="5" t="s">
        <v>918</v>
      </c>
      <c r="E2222" s="55" t="s">
        <v>878</v>
      </c>
      <c r="F2222" s="55"/>
      <c r="G2222" s="24">
        <v>0</v>
      </c>
      <c r="H2222" s="24">
        <v>960000</v>
      </c>
      <c r="I2222" s="24">
        <f t="shared" si="109"/>
        <v>960000</v>
      </c>
    </row>
    <row r="2223" spans="4:9" ht="12.75">
      <c r="D2223" s="5" t="s">
        <v>921</v>
      </c>
      <c r="E2223" s="55" t="s">
        <v>880</v>
      </c>
      <c r="F2223" s="55"/>
      <c r="G2223" s="24">
        <v>43000</v>
      </c>
      <c r="H2223" s="24">
        <v>5564000</v>
      </c>
      <c r="I2223" s="24">
        <f t="shared" si="109"/>
        <v>5607000</v>
      </c>
    </row>
    <row r="2224" spans="4:9" ht="12.75">
      <c r="D2224" s="5" t="s">
        <v>919</v>
      </c>
      <c r="E2224" s="55" t="s">
        <v>200</v>
      </c>
      <c r="F2224" s="55"/>
      <c r="G2224" s="24">
        <v>0</v>
      </c>
      <c r="H2224" s="24">
        <v>3232000</v>
      </c>
      <c r="I2224" s="24">
        <f t="shared" si="109"/>
        <v>3232000</v>
      </c>
    </row>
    <row r="2225" spans="4:9" ht="12.75">
      <c r="D2225" s="5" t="s">
        <v>922</v>
      </c>
      <c r="E2225" s="55" t="s">
        <v>201</v>
      </c>
      <c r="F2225" s="55"/>
      <c r="G2225" s="24">
        <v>277000</v>
      </c>
      <c r="H2225" s="24">
        <v>2372000</v>
      </c>
      <c r="I2225" s="24">
        <f t="shared" si="109"/>
        <v>2649000</v>
      </c>
    </row>
    <row r="2226" spans="4:9" ht="12.75">
      <c r="D2226" s="5" t="s">
        <v>913</v>
      </c>
      <c r="E2226" s="55" t="s">
        <v>881</v>
      </c>
      <c r="F2226" s="55"/>
      <c r="G2226" s="24">
        <v>667000</v>
      </c>
      <c r="H2226" s="24">
        <v>39078000</v>
      </c>
      <c r="I2226" s="24">
        <f t="shared" si="109"/>
        <v>39745000</v>
      </c>
    </row>
    <row r="2227" spans="4:9" ht="12.75">
      <c r="D2227" s="5" t="s">
        <v>915</v>
      </c>
      <c r="E2227" s="55" t="s">
        <v>879</v>
      </c>
      <c r="F2227" s="55"/>
      <c r="G2227" s="24">
        <v>0</v>
      </c>
      <c r="H2227" s="24">
        <v>2572000</v>
      </c>
      <c r="I2227" s="24">
        <f t="shared" si="109"/>
        <v>2572000</v>
      </c>
    </row>
    <row r="2228" spans="4:9" ht="12.75">
      <c r="D2228" s="5" t="s">
        <v>916</v>
      </c>
      <c r="E2228" s="55" t="s">
        <v>882</v>
      </c>
      <c r="F2228" s="55"/>
      <c r="G2228" s="24">
        <v>0</v>
      </c>
      <c r="H2228" s="24">
        <v>15816000</v>
      </c>
      <c r="I2228" s="24">
        <f t="shared" si="109"/>
        <v>15816000</v>
      </c>
    </row>
    <row r="2229" spans="4:9" ht="12.75">
      <c r="D2229" s="5" t="s">
        <v>923</v>
      </c>
      <c r="E2229" s="55" t="s">
        <v>883</v>
      </c>
      <c r="F2229" s="55"/>
      <c r="G2229" s="24">
        <v>126000</v>
      </c>
      <c r="H2229" s="24">
        <v>6180000</v>
      </c>
      <c r="I2229" s="24">
        <f t="shared" si="109"/>
        <v>6306000</v>
      </c>
    </row>
    <row r="2230" spans="4:9" ht="12.75">
      <c r="D2230" s="5" t="s">
        <v>924</v>
      </c>
      <c r="E2230" s="55" t="s">
        <v>203</v>
      </c>
      <c r="F2230" s="55"/>
      <c r="G2230" s="24">
        <v>7701000</v>
      </c>
      <c r="H2230" s="24">
        <v>19096000</v>
      </c>
      <c r="I2230" s="24">
        <f t="shared" si="109"/>
        <v>26797000</v>
      </c>
    </row>
    <row r="2231" spans="4:9" ht="12.75">
      <c r="D2231" s="5" t="s">
        <v>925</v>
      </c>
      <c r="E2231" s="55" t="s">
        <v>884</v>
      </c>
      <c r="F2231" s="55"/>
      <c r="G2231" s="24">
        <v>0</v>
      </c>
      <c r="H2231" s="24">
        <v>66336000</v>
      </c>
      <c r="I2231" s="24">
        <f t="shared" si="109"/>
        <v>66336000</v>
      </c>
    </row>
    <row r="2232" spans="4:9" ht="12.75">
      <c r="D2232" s="5" t="s">
        <v>917</v>
      </c>
      <c r="E2232" s="55" t="s">
        <v>204</v>
      </c>
      <c r="F2232" s="55"/>
      <c r="G2232" s="24">
        <v>0</v>
      </c>
      <c r="H2232" s="24">
        <v>36782000</v>
      </c>
      <c r="I2232" s="24">
        <f t="shared" si="109"/>
        <v>36782000</v>
      </c>
    </row>
    <row r="2233" spans="4:9" ht="12.75">
      <c r="D2233" s="5" t="s">
        <v>746</v>
      </c>
      <c r="E2233" s="55" t="s">
        <v>206</v>
      </c>
      <c r="F2233" s="55"/>
      <c r="G2233" s="24">
        <v>0</v>
      </c>
      <c r="H2233" s="24">
        <v>180000</v>
      </c>
      <c r="I2233" s="24">
        <f t="shared" si="109"/>
        <v>180000</v>
      </c>
    </row>
    <row r="2234" spans="4:9" ht="12.75">
      <c r="D2234" s="5" t="s">
        <v>928</v>
      </c>
      <c r="E2234" s="55" t="s">
        <v>890</v>
      </c>
      <c r="F2234" s="55"/>
      <c r="G2234" s="24">
        <v>0</v>
      </c>
      <c r="H2234" s="24">
        <v>78000</v>
      </c>
      <c r="I2234" s="24">
        <f t="shared" si="109"/>
        <v>78000</v>
      </c>
    </row>
    <row r="2235" spans="4:9" ht="12.75">
      <c r="D2235" s="5" t="s">
        <v>930</v>
      </c>
      <c r="E2235" s="55" t="s">
        <v>209</v>
      </c>
      <c r="F2235" s="55"/>
      <c r="G2235" s="24">
        <v>28962000</v>
      </c>
      <c r="H2235" s="24">
        <v>0</v>
      </c>
      <c r="I2235" s="24">
        <f t="shared" si="109"/>
        <v>28962000</v>
      </c>
    </row>
    <row r="2236" spans="4:9" ht="12.75">
      <c r="D2236" s="5" t="s">
        <v>750</v>
      </c>
      <c r="E2236" s="55" t="s">
        <v>887</v>
      </c>
      <c r="F2236" s="55"/>
      <c r="G2236" s="24">
        <v>230407000</v>
      </c>
      <c r="H2236" s="24">
        <v>0</v>
      </c>
      <c r="I2236" s="24">
        <f t="shared" si="109"/>
        <v>230407000</v>
      </c>
    </row>
    <row r="2237" spans="4:9" ht="12.75">
      <c r="D2237" s="5" t="s">
        <v>753</v>
      </c>
      <c r="E2237" s="55" t="s">
        <v>211</v>
      </c>
      <c r="F2237" s="55"/>
      <c r="G2237" s="24">
        <v>0</v>
      </c>
      <c r="H2237" s="24">
        <v>116000</v>
      </c>
      <c r="I2237" s="24">
        <f t="shared" si="109"/>
        <v>116000</v>
      </c>
    </row>
    <row r="2238" spans="4:9" ht="12.75">
      <c r="D2238" s="5" t="s">
        <v>754</v>
      </c>
      <c r="E2238" s="55" t="s">
        <v>212</v>
      </c>
      <c r="F2238" s="55"/>
      <c r="G2238" s="24">
        <v>0</v>
      </c>
      <c r="H2238" s="24">
        <v>2516000</v>
      </c>
      <c r="I2238" s="24">
        <f t="shared" si="109"/>
        <v>2516000</v>
      </c>
    </row>
    <row r="2239" spans="4:9" ht="12.75">
      <c r="D2239" s="5" t="s">
        <v>755</v>
      </c>
      <c r="E2239" s="55" t="s">
        <v>213</v>
      </c>
      <c r="F2239" s="55"/>
      <c r="G2239" s="24">
        <v>0</v>
      </c>
      <c r="H2239" s="24">
        <v>1104000</v>
      </c>
      <c r="I2239" s="24">
        <f t="shared" si="109"/>
        <v>1104000</v>
      </c>
    </row>
    <row r="2240" spans="4:9" ht="12.75">
      <c r="D2240" s="5" t="s">
        <v>926</v>
      </c>
      <c r="E2240" s="55" t="s">
        <v>885</v>
      </c>
      <c r="F2240" s="55"/>
      <c r="G2240" s="24">
        <v>4180000</v>
      </c>
      <c r="H2240" s="24">
        <v>22392000</v>
      </c>
      <c r="I2240" s="24">
        <f t="shared" si="109"/>
        <v>26572000</v>
      </c>
    </row>
    <row r="2241" spans="4:9" ht="12.75">
      <c r="D2241" s="5" t="s">
        <v>927</v>
      </c>
      <c r="E2241" s="55" t="s">
        <v>886</v>
      </c>
      <c r="F2241" s="55"/>
      <c r="G2241" s="24">
        <v>600000</v>
      </c>
      <c r="H2241" s="24">
        <v>20292000</v>
      </c>
      <c r="I2241" s="24">
        <f t="shared" si="109"/>
        <v>20892000</v>
      </c>
    </row>
    <row r="2242" spans="4:9" ht="13.5" thickBot="1">
      <c r="D2242" s="5" t="s">
        <v>940</v>
      </c>
      <c r="E2242" s="55" t="s">
        <v>897</v>
      </c>
      <c r="F2242" s="55"/>
      <c r="G2242" s="24">
        <v>4146000</v>
      </c>
      <c r="H2242" s="24">
        <v>2474000</v>
      </c>
      <c r="I2242" s="24">
        <f t="shared" si="109"/>
        <v>6620000</v>
      </c>
    </row>
    <row r="2243" spans="5:9" ht="12.75">
      <c r="E2243" s="58" t="s">
        <v>61</v>
      </c>
      <c r="F2243" s="58"/>
      <c r="G2243" s="25"/>
      <c r="H2243" s="25"/>
      <c r="I2243" s="25"/>
    </row>
    <row r="2244" spans="4:9" ht="12.75">
      <c r="D2244" s="5" t="s">
        <v>772</v>
      </c>
      <c r="E2244" s="55" t="s">
        <v>773</v>
      </c>
      <c r="F2244" s="55"/>
      <c r="G2244" s="24">
        <f>SUM(G2220:G2243)</f>
        <v>346477000</v>
      </c>
      <c r="I2244" s="24">
        <f>G2244+H2244</f>
        <v>346477000</v>
      </c>
    </row>
    <row r="2245" spans="4:9" ht="12.75">
      <c r="D2245" s="5" t="s">
        <v>784</v>
      </c>
      <c r="E2245" s="55" t="s">
        <v>785</v>
      </c>
      <c r="F2245" s="55"/>
      <c r="H2245" s="24">
        <v>233462000</v>
      </c>
      <c r="I2245" s="24">
        <f>G2245+H2245</f>
        <v>233462000</v>
      </c>
    </row>
    <row r="2246" spans="4:9" ht="13.5" thickBot="1">
      <c r="D2246" s="5" t="s">
        <v>853</v>
      </c>
      <c r="E2246" s="55" t="s">
        <v>854</v>
      </c>
      <c r="F2246" s="55"/>
      <c r="H2246" s="24">
        <v>48944000</v>
      </c>
      <c r="I2246" s="24">
        <f>G2246+H2246</f>
        <v>48944000</v>
      </c>
    </row>
    <row r="2247" spans="5:9" ht="13.5" thickBot="1">
      <c r="E2247" s="56" t="s">
        <v>62</v>
      </c>
      <c r="F2247" s="56"/>
      <c r="G2247" s="26">
        <f>SUM(G2244:G2246)</f>
        <v>346477000</v>
      </c>
      <c r="H2247" s="26">
        <f>SUM(H2244:H2246)</f>
        <v>282406000</v>
      </c>
      <c r="I2247" s="26">
        <f>G2247+H2247</f>
        <v>628883000</v>
      </c>
    </row>
    <row r="2248" spans="5:9" ht="12.75">
      <c r="E2248" s="58" t="s">
        <v>123</v>
      </c>
      <c r="F2248" s="58"/>
      <c r="G2248" s="25"/>
      <c r="H2248" s="25"/>
      <c r="I2248" s="25"/>
    </row>
    <row r="2249" spans="4:9" ht="12.75">
      <c r="D2249" s="5" t="s">
        <v>772</v>
      </c>
      <c r="E2249" s="55" t="s">
        <v>773</v>
      </c>
      <c r="F2249" s="55"/>
      <c r="G2249" s="24">
        <f>+G2244</f>
        <v>346477000</v>
      </c>
      <c r="H2249" s="24">
        <v>0</v>
      </c>
      <c r="I2249" s="24">
        <f>G2249+H2249</f>
        <v>346477000</v>
      </c>
    </row>
    <row r="2250" spans="4:9" ht="12.75">
      <c r="D2250" s="5" t="s">
        <v>784</v>
      </c>
      <c r="E2250" s="55" t="s">
        <v>785</v>
      </c>
      <c r="F2250" s="55"/>
      <c r="H2250" s="24">
        <v>233462000</v>
      </c>
      <c r="I2250" s="24">
        <f>G2250+H2250</f>
        <v>233462000</v>
      </c>
    </row>
    <row r="2251" spans="4:9" ht="13.5" thickBot="1">
      <c r="D2251" s="5" t="s">
        <v>853</v>
      </c>
      <c r="E2251" s="55" t="s">
        <v>854</v>
      </c>
      <c r="F2251" s="55"/>
      <c r="G2251" s="24">
        <v>0</v>
      </c>
      <c r="H2251" s="24">
        <v>48944000</v>
      </c>
      <c r="I2251" s="24">
        <f>G2251+H2251</f>
        <v>48944000</v>
      </c>
    </row>
    <row r="2252" spans="5:9" ht="13.5" thickBot="1">
      <c r="E2252" s="56" t="s">
        <v>124</v>
      </c>
      <c r="F2252" s="56"/>
      <c r="G2252" s="26">
        <f>SUM(G2249:G2251)</f>
        <v>346477000</v>
      </c>
      <c r="H2252" s="26">
        <f>SUM(H2249:H2251)</f>
        <v>282406000</v>
      </c>
      <c r="I2252" s="26">
        <f>G2252+H2252</f>
        <v>628883000</v>
      </c>
    </row>
    <row r="2253" ht="6.75" customHeight="1"/>
    <row r="2254" spans="1:6" ht="12.75">
      <c r="A2254" s="8" t="s">
        <v>766</v>
      </c>
      <c r="B2254" s="9" t="s">
        <v>551</v>
      </c>
      <c r="C2254" s="8"/>
      <c r="D2254" s="9"/>
      <c r="E2254" s="57" t="s">
        <v>242</v>
      </c>
      <c r="F2254" s="57"/>
    </row>
    <row r="2255" spans="1:6" ht="12.75">
      <c r="A2255" s="8"/>
      <c r="B2255" s="9"/>
      <c r="C2255" s="8" t="s">
        <v>859</v>
      </c>
      <c r="D2255" s="9"/>
      <c r="E2255" s="57" t="s">
        <v>860</v>
      </c>
      <c r="F2255" s="57"/>
    </row>
    <row r="2256" spans="4:9" ht="12.75">
      <c r="D2256" s="5" t="s">
        <v>911</v>
      </c>
      <c r="E2256" s="55" t="s">
        <v>199</v>
      </c>
      <c r="F2256" s="55"/>
      <c r="G2256" s="24">
        <v>1211491000</v>
      </c>
      <c r="H2256" s="24">
        <v>511818000</v>
      </c>
      <c r="I2256" s="24">
        <f aca="true" t="shared" si="110" ref="I2256:I2282">G2256+H2256</f>
        <v>1723309000</v>
      </c>
    </row>
    <row r="2257" spans="4:9" ht="12.75">
      <c r="D2257" s="5" t="s">
        <v>912</v>
      </c>
      <c r="E2257" s="55" t="s">
        <v>877</v>
      </c>
      <c r="F2257" s="55"/>
      <c r="G2257" s="24">
        <v>217017000</v>
      </c>
      <c r="H2257" s="24">
        <v>83530000</v>
      </c>
      <c r="I2257" s="24">
        <f t="shared" si="110"/>
        <v>300547000</v>
      </c>
    </row>
    <row r="2258" spans="4:9" ht="12.75">
      <c r="D2258" s="5" t="s">
        <v>918</v>
      </c>
      <c r="E2258" s="55" t="s">
        <v>878</v>
      </c>
      <c r="F2258" s="55"/>
      <c r="G2258" s="24">
        <v>1667000</v>
      </c>
      <c r="H2258" s="24">
        <v>4099000</v>
      </c>
      <c r="I2258" s="24">
        <f t="shared" si="110"/>
        <v>5766000</v>
      </c>
    </row>
    <row r="2259" spans="4:9" ht="12.75">
      <c r="D2259" s="5" t="s">
        <v>921</v>
      </c>
      <c r="E2259" s="55" t="s">
        <v>880</v>
      </c>
      <c r="F2259" s="55"/>
      <c r="G2259" s="24">
        <v>100000</v>
      </c>
      <c r="H2259" s="24">
        <v>26922000</v>
      </c>
      <c r="I2259" s="24">
        <f t="shared" si="110"/>
        <v>27022000</v>
      </c>
    </row>
    <row r="2260" spans="4:9" ht="12.75">
      <c r="D2260" s="5" t="s">
        <v>919</v>
      </c>
      <c r="E2260" s="55" t="s">
        <v>200</v>
      </c>
      <c r="F2260" s="55"/>
      <c r="G2260" s="24">
        <v>10667000</v>
      </c>
      <c r="H2260" s="24">
        <v>22498000</v>
      </c>
      <c r="I2260" s="24">
        <f t="shared" si="110"/>
        <v>33165000</v>
      </c>
    </row>
    <row r="2261" spans="4:9" ht="12.75">
      <c r="D2261" s="5" t="s">
        <v>922</v>
      </c>
      <c r="E2261" s="55" t="s">
        <v>201</v>
      </c>
      <c r="F2261" s="55"/>
      <c r="G2261" s="24">
        <v>0</v>
      </c>
      <c r="H2261" s="24">
        <v>21400000</v>
      </c>
      <c r="I2261" s="24">
        <f t="shared" si="110"/>
        <v>21400000</v>
      </c>
    </row>
    <row r="2262" spans="4:9" ht="12.75">
      <c r="D2262" s="5" t="s">
        <v>913</v>
      </c>
      <c r="E2262" s="55" t="s">
        <v>881</v>
      </c>
      <c r="F2262" s="55"/>
      <c r="G2262" s="24">
        <v>59516000</v>
      </c>
      <c r="H2262" s="24">
        <v>110634000</v>
      </c>
      <c r="I2262" s="24">
        <f t="shared" si="110"/>
        <v>170150000</v>
      </c>
    </row>
    <row r="2263" spans="4:9" ht="12.75">
      <c r="D2263" s="5" t="s">
        <v>915</v>
      </c>
      <c r="E2263" s="55" t="s">
        <v>879</v>
      </c>
      <c r="F2263" s="55"/>
      <c r="G2263" s="24">
        <v>351000</v>
      </c>
      <c r="H2263" s="24">
        <v>58500000</v>
      </c>
      <c r="I2263" s="24">
        <f t="shared" si="110"/>
        <v>58851000</v>
      </c>
    </row>
    <row r="2264" spans="4:9" ht="12.75">
      <c r="D2264" s="5" t="s">
        <v>916</v>
      </c>
      <c r="E2264" s="55" t="s">
        <v>882</v>
      </c>
      <c r="F2264" s="55"/>
      <c r="G2264" s="24">
        <v>4983000</v>
      </c>
      <c r="H2264" s="24">
        <v>463945000</v>
      </c>
      <c r="I2264" s="24">
        <f t="shared" si="110"/>
        <v>468928000</v>
      </c>
    </row>
    <row r="2265" spans="4:9" ht="12.75">
      <c r="D2265" s="5" t="s">
        <v>923</v>
      </c>
      <c r="E2265" s="55" t="s">
        <v>883</v>
      </c>
      <c r="F2265" s="55"/>
      <c r="G2265" s="24">
        <v>667000</v>
      </c>
      <c r="H2265" s="24">
        <v>149338000</v>
      </c>
      <c r="I2265" s="24">
        <f t="shared" si="110"/>
        <v>150005000</v>
      </c>
    </row>
    <row r="2266" spans="4:9" ht="12.75">
      <c r="D2266" s="5" t="s">
        <v>924</v>
      </c>
      <c r="E2266" s="55" t="s">
        <v>203</v>
      </c>
      <c r="F2266" s="55"/>
      <c r="G2266" s="24">
        <v>3500000</v>
      </c>
      <c r="H2266" s="24">
        <v>75576000</v>
      </c>
      <c r="I2266" s="24">
        <f t="shared" si="110"/>
        <v>79076000</v>
      </c>
    </row>
    <row r="2267" spans="4:9" ht="12.75">
      <c r="D2267" s="5" t="s">
        <v>925</v>
      </c>
      <c r="E2267" s="55" t="s">
        <v>884</v>
      </c>
      <c r="F2267" s="55"/>
      <c r="G2267" s="24">
        <v>7000000</v>
      </c>
      <c r="H2267" s="24">
        <v>84537000</v>
      </c>
      <c r="I2267" s="24">
        <f t="shared" si="110"/>
        <v>91537000</v>
      </c>
    </row>
    <row r="2268" spans="4:9" ht="12.75">
      <c r="D2268" s="5" t="s">
        <v>917</v>
      </c>
      <c r="E2268" s="55" t="s">
        <v>204</v>
      </c>
      <c r="F2268" s="55"/>
      <c r="G2268" s="24">
        <v>0</v>
      </c>
      <c r="H2268" s="24">
        <v>32360000</v>
      </c>
      <c r="I2268" s="24">
        <f t="shared" si="110"/>
        <v>32360000</v>
      </c>
    </row>
    <row r="2269" spans="4:9" ht="12.75">
      <c r="D2269" s="5" t="s">
        <v>745</v>
      </c>
      <c r="E2269" s="55" t="s">
        <v>205</v>
      </c>
      <c r="F2269" s="55"/>
      <c r="G2269" s="24">
        <v>0</v>
      </c>
      <c r="H2269" s="24">
        <v>88000</v>
      </c>
      <c r="I2269" s="24">
        <f t="shared" si="110"/>
        <v>88000</v>
      </c>
    </row>
    <row r="2270" spans="4:9" ht="12.75">
      <c r="D2270" s="5" t="s">
        <v>746</v>
      </c>
      <c r="E2270" s="55" t="s">
        <v>206</v>
      </c>
      <c r="F2270" s="55"/>
      <c r="G2270" s="24">
        <v>0</v>
      </c>
      <c r="H2270" s="24">
        <v>976000</v>
      </c>
      <c r="I2270" s="24">
        <f t="shared" si="110"/>
        <v>976000</v>
      </c>
    </row>
    <row r="2271" spans="4:9" ht="12.75">
      <c r="D2271" s="5" t="s">
        <v>928</v>
      </c>
      <c r="E2271" s="55" t="s">
        <v>890</v>
      </c>
      <c r="F2271" s="55"/>
      <c r="G2271" s="24">
        <v>0</v>
      </c>
      <c r="H2271" s="24">
        <v>1025000</v>
      </c>
      <c r="I2271" s="24">
        <f t="shared" si="110"/>
        <v>1025000</v>
      </c>
    </row>
    <row r="2272" spans="4:9" ht="12.75">
      <c r="D2272" s="5" t="s">
        <v>929</v>
      </c>
      <c r="E2272" s="55" t="s">
        <v>208</v>
      </c>
      <c r="F2272" s="55"/>
      <c r="G2272" s="24">
        <v>0</v>
      </c>
      <c r="H2272" s="24">
        <v>150000</v>
      </c>
      <c r="I2272" s="24">
        <f t="shared" si="110"/>
        <v>150000</v>
      </c>
    </row>
    <row r="2273" spans="4:9" ht="12.75">
      <c r="D2273" s="5" t="s">
        <v>930</v>
      </c>
      <c r="E2273" s="55" t="s">
        <v>209</v>
      </c>
      <c r="F2273" s="55"/>
      <c r="G2273" s="24">
        <v>347318000</v>
      </c>
      <c r="H2273" s="24">
        <v>425000</v>
      </c>
      <c r="I2273" s="24">
        <f t="shared" si="110"/>
        <v>347743000</v>
      </c>
    </row>
    <row r="2274" spans="4:9" ht="12.75">
      <c r="D2274" s="5" t="s">
        <v>750</v>
      </c>
      <c r="E2274" s="55" t="s">
        <v>887</v>
      </c>
      <c r="F2274" s="55"/>
      <c r="G2274" s="24">
        <v>28000000</v>
      </c>
      <c r="H2274" s="24">
        <v>66000</v>
      </c>
      <c r="I2274" s="24">
        <f t="shared" si="110"/>
        <v>28066000</v>
      </c>
    </row>
    <row r="2275" spans="4:9" ht="12.75">
      <c r="D2275" s="5" t="s">
        <v>753</v>
      </c>
      <c r="E2275" s="55" t="s">
        <v>211</v>
      </c>
      <c r="F2275" s="55"/>
      <c r="G2275" s="24">
        <v>0</v>
      </c>
      <c r="H2275" s="24">
        <v>1386000</v>
      </c>
      <c r="I2275" s="24">
        <f t="shared" si="110"/>
        <v>1386000</v>
      </c>
    </row>
    <row r="2276" spans="4:9" ht="12.75">
      <c r="D2276" s="5" t="s">
        <v>754</v>
      </c>
      <c r="E2276" s="55" t="s">
        <v>212</v>
      </c>
      <c r="F2276" s="55"/>
      <c r="G2276" s="24">
        <v>0</v>
      </c>
      <c r="H2276" s="24">
        <v>5718000</v>
      </c>
      <c r="I2276" s="24">
        <f t="shared" si="110"/>
        <v>5718000</v>
      </c>
    </row>
    <row r="2277" spans="4:9" ht="12.75">
      <c r="D2277" s="5" t="s">
        <v>755</v>
      </c>
      <c r="E2277" s="55" t="s">
        <v>213</v>
      </c>
      <c r="F2277" s="55"/>
      <c r="G2277" s="24">
        <v>0</v>
      </c>
      <c r="H2277" s="24">
        <v>295000</v>
      </c>
      <c r="I2277" s="24">
        <f t="shared" si="110"/>
        <v>295000</v>
      </c>
    </row>
    <row r="2278" spans="4:9" ht="24.75" customHeight="1">
      <c r="D2278" s="5" t="s">
        <v>756</v>
      </c>
      <c r="E2278" s="55" t="s">
        <v>900</v>
      </c>
      <c r="F2278" s="55"/>
      <c r="G2278" s="24">
        <v>0</v>
      </c>
      <c r="H2278" s="24">
        <v>275000</v>
      </c>
      <c r="I2278" s="24">
        <f t="shared" si="110"/>
        <v>275000</v>
      </c>
    </row>
    <row r="2279" spans="4:9" ht="12.75">
      <c r="D2279" s="5" t="s">
        <v>926</v>
      </c>
      <c r="E2279" s="55" t="s">
        <v>885</v>
      </c>
      <c r="F2279" s="55"/>
      <c r="G2279" s="24">
        <v>6817000</v>
      </c>
      <c r="H2279" s="24">
        <v>8891000</v>
      </c>
      <c r="I2279" s="24">
        <f t="shared" si="110"/>
        <v>15708000</v>
      </c>
    </row>
    <row r="2280" spans="4:9" ht="12.75">
      <c r="D2280" s="5" t="s">
        <v>927</v>
      </c>
      <c r="E2280" s="55" t="s">
        <v>886</v>
      </c>
      <c r="F2280" s="55"/>
      <c r="G2280" s="24">
        <v>500000</v>
      </c>
      <c r="H2280" s="24">
        <v>91625000</v>
      </c>
      <c r="I2280" s="24">
        <f t="shared" si="110"/>
        <v>92125000</v>
      </c>
    </row>
    <row r="2281" spans="4:9" ht="12.75">
      <c r="D2281" s="5" t="s">
        <v>937</v>
      </c>
      <c r="E2281" s="55" t="s">
        <v>892</v>
      </c>
      <c r="F2281" s="55"/>
      <c r="G2281" s="24">
        <v>0</v>
      </c>
      <c r="H2281" s="24">
        <v>270000</v>
      </c>
      <c r="I2281" s="24">
        <f t="shared" si="110"/>
        <v>270000</v>
      </c>
    </row>
    <row r="2282" spans="4:9" ht="13.5" thickBot="1">
      <c r="D2282" s="5" t="s">
        <v>940</v>
      </c>
      <c r="E2282" s="55" t="s">
        <v>897</v>
      </c>
      <c r="F2282" s="55"/>
      <c r="G2282" s="24">
        <v>0</v>
      </c>
      <c r="H2282" s="24">
        <v>1250000</v>
      </c>
      <c r="I2282" s="24">
        <f t="shared" si="110"/>
        <v>1250000</v>
      </c>
    </row>
    <row r="2283" spans="5:9" ht="12.75">
      <c r="E2283" s="58" t="s">
        <v>85</v>
      </c>
      <c r="F2283" s="58"/>
      <c r="G2283" s="25"/>
      <c r="H2283" s="25"/>
      <c r="I2283" s="25"/>
    </row>
    <row r="2284" spans="4:9" ht="12.75">
      <c r="D2284" s="5" t="s">
        <v>772</v>
      </c>
      <c r="E2284" s="55" t="s">
        <v>773</v>
      </c>
      <c r="F2284" s="55"/>
      <c r="G2284" s="24">
        <f>SUM(G2256:G2283)</f>
        <v>1899594000</v>
      </c>
      <c r="I2284" s="24">
        <f aca="true" t="shared" si="111" ref="I2284:I2291">G2284+H2284</f>
        <v>1899594000</v>
      </c>
    </row>
    <row r="2285" spans="4:9" ht="12.75">
      <c r="D2285" s="5" t="s">
        <v>784</v>
      </c>
      <c r="E2285" s="55" t="s">
        <v>785</v>
      </c>
      <c r="F2285" s="55"/>
      <c r="H2285" s="24">
        <v>1691845000</v>
      </c>
      <c r="I2285" s="24">
        <f t="shared" si="111"/>
        <v>1691845000</v>
      </c>
    </row>
    <row r="2286" spans="4:9" ht="12.75">
      <c r="D2286" s="5" t="s">
        <v>778</v>
      </c>
      <c r="E2286" s="55" t="s">
        <v>779</v>
      </c>
      <c r="F2286" s="55"/>
      <c r="H2286" s="24">
        <v>8862000</v>
      </c>
      <c r="I2286" s="24">
        <f t="shared" si="111"/>
        <v>8862000</v>
      </c>
    </row>
    <row r="2287" spans="4:9" ht="12.75">
      <c r="D2287" s="5" t="s">
        <v>780</v>
      </c>
      <c r="E2287" s="55" t="s">
        <v>781</v>
      </c>
      <c r="F2287" s="55"/>
      <c r="H2287" s="24">
        <v>35693000</v>
      </c>
      <c r="I2287" s="24">
        <f t="shared" si="111"/>
        <v>35693000</v>
      </c>
    </row>
    <row r="2288" spans="4:9" ht="12.75">
      <c r="D2288" s="5" t="s">
        <v>853</v>
      </c>
      <c r="E2288" s="55" t="s">
        <v>854</v>
      </c>
      <c r="F2288" s="55"/>
      <c r="H2288" s="24">
        <v>9563000</v>
      </c>
      <c r="I2288" s="24">
        <f t="shared" si="111"/>
        <v>9563000</v>
      </c>
    </row>
    <row r="2289" spans="4:9" ht="12.75">
      <c r="D2289" s="5" t="s">
        <v>796</v>
      </c>
      <c r="E2289" s="55" t="s">
        <v>797</v>
      </c>
      <c r="F2289" s="55"/>
      <c r="H2289" s="24">
        <v>11309000</v>
      </c>
      <c r="I2289" s="24">
        <f t="shared" si="111"/>
        <v>11309000</v>
      </c>
    </row>
    <row r="2290" spans="4:9" ht="13.5" thickBot="1">
      <c r="D2290" s="5" t="s">
        <v>804</v>
      </c>
      <c r="E2290" s="55" t="s">
        <v>805</v>
      </c>
      <c r="F2290" s="55"/>
      <c r="H2290" s="24">
        <v>325000</v>
      </c>
      <c r="I2290" s="24">
        <f t="shared" si="111"/>
        <v>325000</v>
      </c>
    </row>
    <row r="2291" spans="5:9" ht="13.5" thickBot="1">
      <c r="E2291" s="56" t="s">
        <v>86</v>
      </c>
      <c r="F2291" s="56"/>
      <c r="G2291" s="26">
        <f>SUM(G2284:G2290)</f>
        <v>1899594000</v>
      </c>
      <c r="H2291" s="26">
        <f>SUM(H2284:H2290)</f>
        <v>1757597000</v>
      </c>
      <c r="I2291" s="26">
        <f t="shared" si="111"/>
        <v>3657191000</v>
      </c>
    </row>
    <row r="2292" spans="5:9" ht="12.75">
      <c r="E2292" s="58" t="s">
        <v>552</v>
      </c>
      <c r="F2292" s="58"/>
      <c r="G2292" s="25"/>
      <c r="H2292" s="25"/>
      <c r="I2292" s="25"/>
    </row>
    <row r="2293" spans="4:9" ht="12.75">
      <c r="D2293" s="5" t="s">
        <v>772</v>
      </c>
      <c r="E2293" s="55" t="s">
        <v>773</v>
      </c>
      <c r="F2293" s="55"/>
      <c r="G2293" s="24">
        <f>+G2284</f>
        <v>1899594000</v>
      </c>
      <c r="H2293" s="24">
        <v>0</v>
      </c>
      <c r="I2293" s="24">
        <f aca="true" t="shared" si="112" ref="I2293:I2300">G2293+H2293</f>
        <v>1899594000</v>
      </c>
    </row>
    <row r="2294" spans="4:9" ht="12.75">
      <c r="D2294" s="5" t="s">
        <v>784</v>
      </c>
      <c r="E2294" s="55" t="s">
        <v>785</v>
      </c>
      <c r="F2294" s="55"/>
      <c r="G2294" s="24">
        <v>0</v>
      </c>
      <c r="H2294" s="24">
        <f aca="true" t="shared" si="113" ref="H2294:H2299">+H2285</f>
        <v>1691845000</v>
      </c>
      <c r="I2294" s="24">
        <f t="shared" si="112"/>
        <v>1691845000</v>
      </c>
    </row>
    <row r="2295" spans="4:9" ht="12.75">
      <c r="D2295" s="5" t="s">
        <v>778</v>
      </c>
      <c r="E2295" s="55" t="s">
        <v>779</v>
      </c>
      <c r="F2295" s="55"/>
      <c r="G2295" s="24">
        <v>0</v>
      </c>
      <c r="H2295" s="24">
        <f t="shared" si="113"/>
        <v>8862000</v>
      </c>
      <c r="I2295" s="24">
        <f t="shared" si="112"/>
        <v>8862000</v>
      </c>
    </row>
    <row r="2296" spans="4:9" ht="12.75">
      <c r="D2296" s="5" t="s">
        <v>780</v>
      </c>
      <c r="E2296" s="55" t="s">
        <v>781</v>
      </c>
      <c r="F2296" s="55"/>
      <c r="G2296" s="24">
        <v>0</v>
      </c>
      <c r="H2296" s="24">
        <f t="shared" si="113"/>
        <v>35693000</v>
      </c>
      <c r="I2296" s="24">
        <f t="shared" si="112"/>
        <v>35693000</v>
      </c>
    </row>
    <row r="2297" spans="4:9" ht="12.75">
      <c r="D2297" s="5" t="s">
        <v>853</v>
      </c>
      <c r="E2297" s="55" t="s">
        <v>854</v>
      </c>
      <c r="F2297" s="55"/>
      <c r="G2297" s="24">
        <v>0</v>
      </c>
      <c r="H2297" s="24">
        <f t="shared" si="113"/>
        <v>9563000</v>
      </c>
      <c r="I2297" s="24">
        <f t="shared" si="112"/>
        <v>9563000</v>
      </c>
    </row>
    <row r="2298" spans="4:9" ht="12.75">
      <c r="D2298" s="5" t="s">
        <v>796</v>
      </c>
      <c r="E2298" s="55" t="s">
        <v>797</v>
      </c>
      <c r="F2298" s="55"/>
      <c r="G2298" s="24">
        <v>0</v>
      </c>
      <c r="H2298" s="24">
        <f t="shared" si="113"/>
        <v>11309000</v>
      </c>
      <c r="I2298" s="24">
        <f t="shared" si="112"/>
        <v>11309000</v>
      </c>
    </row>
    <row r="2299" spans="4:9" ht="13.5" thickBot="1">
      <c r="D2299" s="5" t="s">
        <v>804</v>
      </c>
      <c r="E2299" s="55" t="s">
        <v>805</v>
      </c>
      <c r="F2299" s="55"/>
      <c r="G2299" s="24">
        <v>0</v>
      </c>
      <c r="H2299" s="24">
        <f t="shared" si="113"/>
        <v>325000</v>
      </c>
      <c r="I2299" s="24">
        <f t="shared" si="112"/>
        <v>325000</v>
      </c>
    </row>
    <row r="2300" spans="5:9" ht="13.5" thickBot="1">
      <c r="E2300" s="56" t="s">
        <v>553</v>
      </c>
      <c r="F2300" s="56"/>
      <c r="G2300" s="26">
        <f>SUM(G2293:G2299)</f>
        <v>1899594000</v>
      </c>
      <c r="H2300" s="26">
        <f>SUM(H2293:H2299)</f>
        <v>1757597000</v>
      </c>
      <c r="I2300" s="26">
        <f t="shared" si="112"/>
        <v>3657191000</v>
      </c>
    </row>
    <row r="2302" spans="1:6" ht="12.75">
      <c r="A2302" s="8" t="s">
        <v>766</v>
      </c>
      <c r="B2302" s="9" t="s">
        <v>554</v>
      </c>
      <c r="C2302" s="8"/>
      <c r="D2302" s="9"/>
      <c r="E2302" s="57" t="s">
        <v>243</v>
      </c>
      <c r="F2302" s="57"/>
    </row>
    <row r="2303" spans="1:6" ht="12.75">
      <c r="A2303" s="8"/>
      <c r="B2303" s="9"/>
      <c r="C2303" s="8" t="s">
        <v>857</v>
      </c>
      <c r="D2303" s="9"/>
      <c r="E2303" s="57" t="s">
        <v>858</v>
      </c>
      <c r="F2303" s="57"/>
    </row>
    <row r="2304" spans="4:9" ht="12.75">
      <c r="D2304" s="5" t="s">
        <v>911</v>
      </c>
      <c r="E2304" s="55" t="s">
        <v>199</v>
      </c>
      <c r="F2304" s="55"/>
      <c r="G2304" s="24">
        <v>90257000</v>
      </c>
      <c r="H2304" s="24">
        <v>58836000</v>
      </c>
      <c r="I2304" s="24">
        <f aca="true" t="shared" si="114" ref="I2304:I2326">G2304+H2304</f>
        <v>149093000</v>
      </c>
    </row>
    <row r="2305" spans="4:9" ht="12.75">
      <c r="D2305" s="5" t="s">
        <v>912</v>
      </c>
      <c r="E2305" s="55" t="s">
        <v>877</v>
      </c>
      <c r="F2305" s="55"/>
      <c r="G2305" s="24">
        <v>16628000</v>
      </c>
      <c r="H2305" s="24">
        <v>8588000</v>
      </c>
      <c r="I2305" s="24">
        <f t="shared" si="114"/>
        <v>25216000</v>
      </c>
    </row>
    <row r="2306" spans="4:9" ht="12.75">
      <c r="D2306" s="5" t="s">
        <v>918</v>
      </c>
      <c r="E2306" s="55" t="s">
        <v>878</v>
      </c>
      <c r="F2306" s="55"/>
      <c r="G2306" s="24">
        <v>0</v>
      </c>
      <c r="H2306" s="24">
        <v>5863000</v>
      </c>
      <c r="I2306" s="24">
        <f t="shared" si="114"/>
        <v>5863000</v>
      </c>
    </row>
    <row r="2307" spans="4:9" ht="12.75">
      <c r="D2307" s="5" t="s">
        <v>921</v>
      </c>
      <c r="E2307" s="55" t="s">
        <v>880</v>
      </c>
      <c r="F2307" s="55"/>
      <c r="G2307" s="24">
        <v>380000</v>
      </c>
      <c r="H2307" s="24">
        <v>3539000</v>
      </c>
      <c r="I2307" s="24">
        <f t="shared" si="114"/>
        <v>3919000</v>
      </c>
    </row>
    <row r="2308" spans="4:9" ht="12.75">
      <c r="D2308" s="5" t="s">
        <v>919</v>
      </c>
      <c r="E2308" s="55" t="s">
        <v>200</v>
      </c>
      <c r="F2308" s="55"/>
      <c r="G2308" s="24">
        <v>0</v>
      </c>
      <c r="H2308" s="24">
        <v>2293000</v>
      </c>
      <c r="I2308" s="24">
        <f t="shared" si="114"/>
        <v>2293000</v>
      </c>
    </row>
    <row r="2309" spans="4:9" ht="12.75">
      <c r="D2309" s="5" t="s">
        <v>922</v>
      </c>
      <c r="E2309" s="55" t="s">
        <v>201</v>
      </c>
      <c r="F2309" s="55"/>
      <c r="H2309" s="24">
        <v>1253000</v>
      </c>
      <c r="I2309" s="24">
        <f t="shared" si="114"/>
        <v>1253000</v>
      </c>
    </row>
    <row r="2310" spans="4:9" ht="12.75">
      <c r="D2310" s="5" t="s">
        <v>913</v>
      </c>
      <c r="E2310" s="55" t="s">
        <v>881</v>
      </c>
      <c r="F2310" s="55"/>
      <c r="G2310" s="24">
        <v>0</v>
      </c>
      <c r="H2310" s="24">
        <v>53605000</v>
      </c>
      <c r="I2310" s="24">
        <f t="shared" si="114"/>
        <v>53605000</v>
      </c>
    </row>
    <row r="2311" spans="4:9" ht="12.75">
      <c r="D2311" s="5" t="s">
        <v>915</v>
      </c>
      <c r="E2311" s="55" t="s">
        <v>879</v>
      </c>
      <c r="F2311" s="55"/>
      <c r="G2311" s="24">
        <v>0</v>
      </c>
      <c r="H2311" s="24">
        <v>1048000</v>
      </c>
      <c r="I2311" s="24">
        <f t="shared" si="114"/>
        <v>1048000</v>
      </c>
    </row>
    <row r="2312" spans="4:9" ht="12.75">
      <c r="D2312" s="5" t="s">
        <v>916</v>
      </c>
      <c r="E2312" s="55" t="s">
        <v>882</v>
      </c>
      <c r="F2312" s="55"/>
      <c r="G2312" s="24">
        <v>0</v>
      </c>
      <c r="H2312" s="24">
        <v>9139000</v>
      </c>
      <c r="I2312" s="24">
        <f t="shared" si="114"/>
        <v>9139000</v>
      </c>
    </row>
    <row r="2313" spans="4:9" ht="12.75">
      <c r="D2313" s="5" t="s">
        <v>923</v>
      </c>
      <c r="E2313" s="55" t="s">
        <v>883</v>
      </c>
      <c r="F2313" s="55"/>
      <c r="G2313" s="24">
        <v>1002000</v>
      </c>
      <c r="H2313" s="24">
        <v>12341000</v>
      </c>
      <c r="I2313" s="24">
        <f t="shared" si="114"/>
        <v>13343000</v>
      </c>
    </row>
    <row r="2314" spans="4:9" ht="12.75">
      <c r="D2314" s="5" t="s">
        <v>924</v>
      </c>
      <c r="E2314" s="55" t="s">
        <v>203</v>
      </c>
      <c r="F2314" s="55"/>
      <c r="G2314" s="24">
        <v>9037000</v>
      </c>
      <c r="H2314" s="24">
        <v>18747000</v>
      </c>
      <c r="I2314" s="24">
        <f t="shared" si="114"/>
        <v>27784000</v>
      </c>
    </row>
    <row r="2315" spans="4:9" ht="12.75">
      <c r="D2315" s="5" t="s">
        <v>925</v>
      </c>
      <c r="E2315" s="55" t="s">
        <v>884</v>
      </c>
      <c r="F2315" s="55"/>
      <c r="G2315" s="24">
        <v>0</v>
      </c>
      <c r="H2315" s="24">
        <v>141317000</v>
      </c>
      <c r="I2315" s="24">
        <f t="shared" si="114"/>
        <v>141317000</v>
      </c>
    </row>
    <row r="2316" spans="4:9" ht="12.75">
      <c r="D2316" s="5" t="s">
        <v>917</v>
      </c>
      <c r="E2316" s="55" t="s">
        <v>204</v>
      </c>
      <c r="F2316" s="55"/>
      <c r="G2316" s="24">
        <v>0</v>
      </c>
      <c r="H2316" s="24">
        <v>22392000</v>
      </c>
      <c r="I2316" s="24">
        <f t="shared" si="114"/>
        <v>22392000</v>
      </c>
    </row>
    <row r="2317" spans="4:9" ht="12.75">
      <c r="D2317" s="5" t="s">
        <v>746</v>
      </c>
      <c r="E2317" s="55" t="s">
        <v>206</v>
      </c>
      <c r="F2317" s="55"/>
      <c r="G2317" s="24">
        <v>0</v>
      </c>
      <c r="H2317" s="24">
        <v>239000</v>
      </c>
      <c r="I2317" s="24">
        <f t="shared" si="114"/>
        <v>239000</v>
      </c>
    </row>
    <row r="2318" spans="4:9" ht="12.75">
      <c r="D2318" s="5" t="s">
        <v>928</v>
      </c>
      <c r="E2318" s="55" t="s">
        <v>890</v>
      </c>
      <c r="F2318" s="55"/>
      <c r="G2318" s="24">
        <v>0</v>
      </c>
      <c r="H2318" s="24">
        <v>4967000</v>
      </c>
      <c r="I2318" s="24">
        <f t="shared" si="114"/>
        <v>4967000</v>
      </c>
    </row>
    <row r="2319" spans="4:9" ht="12.75">
      <c r="D2319" s="5" t="s">
        <v>930</v>
      </c>
      <c r="E2319" s="55" t="s">
        <v>209</v>
      </c>
      <c r="F2319" s="55"/>
      <c r="G2319" s="24">
        <v>28520000</v>
      </c>
      <c r="H2319" s="24">
        <v>0</v>
      </c>
      <c r="I2319" s="24">
        <f t="shared" si="114"/>
        <v>28520000</v>
      </c>
    </row>
    <row r="2320" spans="4:9" ht="12.75">
      <c r="D2320" s="5" t="s">
        <v>750</v>
      </c>
      <c r="E2320" s="55" t="s">
        <v>887</v>
      </c>
      <c r="F2320" s="55"/>
      <c r="G2320" s="24">
        <v>173403000</v>
      </c>
      <c r="H2320" s="24">
        <v>0</v>
      </c>
      <c r="I2320" s="24">
        <f t="shared" si="114"/>
        <v>173403000</v>
      </c>
    </row>
    <row r="2321" spans="4:9" ht="12.75">
      <c r="D2321" s="5" t="s">
        <v>753</v>
      </c>
      <c r="E2321" s="55" t="s">
        <v>211</v>
      </c>
      <c r="F2321" s="55"/>
      <c r="G2321" s="24">
        <v>1000000</v>
      </c>
      <c r="H2321" s="24">
        <v>115000</v>
      </c>
      <c r="I2321" s="24">
        <f t="shared" si="114"/>
        <v>1115000</v>
      </c>
    </row>
    <row r="2322" spans="4:9" ht="12.75">
      <c r="D2322" s="5" t="s">
        <v>754</v>
      </c>
      <c r="E2322" s="55" t="s">
        <v>212</v>
      </c>
      <c r="F2322" s="55"/>
      <c r="G2322" s="24">
        <v>0</v>
      </c>
      <c r="H2322" s="24">
        <v>1809000</v>
      </c>
      <c r="I2322" s="24">
        <f t="shared" si="114"/>
        <v>1809000</v>
      </c>
    </row>
    <row r="2323" spans="4:9" ht="12.75">
      <c r="D2323" s="5" t="s">
        <v>755</v>
      </c>
      <c r="E2323" s="55" t="s">
        <v>213</v>
      </c>
      <c r="F2323" s="55"/>
      <c r="G2323" s="24">
        <v>5628000</v>
      </c>
      <c r="H2323" s="24">
        <v>12160000</v>
      </c>
      <c r="I2323" s="24">
        <f t="shared" si="114"/>
        <v>17788000</v>
      </c>
    </row>
    <row r="2324" spans="4:9" ht="12.75">
      <c r="D2324" s="5" t="s">
        <v>926</v>
      </c>
      <c r="E2324" s="55" t="s">
        <v>885</v>
      </c>
      <c r="F2324" s="55"/>
      <c r="G2324" s="24">
        <v>3675000</v>
      </c>
      <c r="H2324" s="24">
        <v>11312000</v>
      </c>
      <c r="I2324" s="24">
        <f t="shared" si="114"/>
        <v>14987000</v>
      </c>
    </row>
    <row r="2325" spans="4:9" ht="12.75">
      <c r="D2325" s="5" t="s">
        <v>927</v>
      </c>
      <c r="E2325" s="55" t="s">
        <v>886</v>
      </c>
      <c r="F2325" s="55"/>
      <c r="G2325" s="24">
        <v>6000000</v>
      </c>
      <c r="H2325" s="24">
        <v>21603000</v>
      </c>
      <c r="I2325" s="24">
        <f t="shared" si="114"/>
        <v>27603000</v>
      </c>
    </row>
    <row r="2326" spans="4:9" ht="13.5" thickBot="1">
      <c r="D2326" s="5" t="s">
        <v>940</v>
      </c>
      <c r="E2326" s="55" t="s">
        <v>897</v>
      </c>
      <c r="F2326" s="55"/>
      <c r="G2326" s="24">
        <v>216477000</v>
      </c>
      <c r="H2326" s="24">
        <v>14485000</v>
      </c>
      <c r="I2326" s="24">
        <f t="shared" si="114"/>
        <v>230962000</v>
      </c>
    </row>
    <row r="2327" spans="5:9" ht="12.75">
      <c r="E2327" s="58" t="s">
        <v>61</v>
      </c>
      <c r="F2327" s="58"/>
      <c r="G2327" s="25"/>
      <c r="H2327" s="25"/>
      <c r="I2327" s="25"/>
    </row>
    <row r="2328" spans="4:9" ht="12.75">
      <c r="D2328" s="5" t="s">
        <v>772</v>
      </c>
      <c r="E2328" s="55" t="s">
        <v>773</v>
      </c>
      <c r="F2328" s="55"/>
      <c r="G2328" s="24">
        <f>SUM(G2304:G2327)</f>
        <v>552007000</v>
      </c>
      <c r="I2328" s="24">
        <f>G2328+H2328</f>
        <v>552007000</v>
      </c>
    </row>
    <row r="2329" spans="4:9" ht="13.5" thickBot="1">
      <c r="D2329" s="5" t="s">
        <v>784</v>
      </c>
      <c r="E2329" s="55" t="s">
        <v>785</v>
      </c>
      <c r="F2329" s="55"/>
      <c r="H2329" s="24">
        <f>SUM(H2304:H2328)</f>
        <v>405651000</v>
      </c>
      <c r="I2329" s="24">
        <f>G2329+H2329</f>
        <v>405651000</v>
      </c>
    </row>
    <row r="2330" spans="5:9" ht="13.5" thickBot="1">
      <c r="E2330" s="56" t="s">
        <v>62</v>
      </c>
      <c r="F2330" s="56"/>
      <c r="G2330" s="26">
        <f>SUM(G2328:G2329)</f>
        <v>552007000</v>
      </c>
      <c r="H2330" s="26">
        <f>SUM(H2328:H2329)</f>
        <v>405651000</v>
      </c>
      <c r="I2330" s="26">
        <f>G2330+H2330</f>
        <v>957658000</v>
      </c>
    </row>
    <row r="2331" spans="5:9" ht="12.75">
      <c r="E2331" s="58" t="s">
        <v>555</v>
      </c>
      <c r="F2331" s="58"/>
      <c r="G2331" s="25"/>
      <c r="H2331" s="25"/>
      <c r="I2331" s="25"/>
    </row>
    <row r="2332" spans="4:9" ht="12.75">
      <c r="D2332" s="5" t="s">
        <v>772</v>
      </c>
      <c r="E2332" s="55" t="s">
        <v>773</v>
      </c>
      <c r="F2332" s="55"/>
      <c r="G2332" s="24">
        <f>+G2328</f>
        <v>552007000</v>
      </c>
      <c r="H2332" s="24">
        <v>0</v>
      </c>
      <c r="I2332" s="24">
        <f>G2332+H2332</f>
        <v>552007000</v>
      </c>
    </row>
    <row r="2333" spans="4:9" ht="13.5" thickBot="1">
      <c r="D2333" s="5" t="s">
        <v>784</v>
      </c>
      <c r="E2333" s="55" t="s">
        <v>785</v>
      </c>
      <c r="F2333" s="55"/>
      <c r="H2333" s="24">
        <f>+H2329</f>
        <v>405651000</v>
      </c>
      <c r="I2333" s="24">
        <f>G2333+H2333</f>
        <v>405651000</v>
      </c>
    </row>
    <row r="2334" spans="5:9" ht="13.5" thickBot="1">
      <c r="E2334" s="56" t="s">
        <v>556</v>
      </c>
      <c r="F2334" s="56"/>
      <c r="G2334" s="26">
        <f>SUM(G2332:G2333)</f>
        <v>552007000</v>
      </c>
      <c r="H2334" s="26">
        <f>SUM(H2332:H2333)</f>
        <v>405651000</v>
      </c>
      <c r="I2334" s="26">
        <f>G2334+H2334</f>
        <v>957658000</v>
      </c>
    </row>
    <row r="2336" spans="1:6" ht="12.75">
      <c r="A2336" s="8" t="s">
        <v>766</v>
      </c>
      <c r="B2336" s="9" t="s">
        <v>557</v>
      </c>
      <c r="C2336" s="8"/>
      <c r="D2336" s="9"/>
      <c r="E2336" s="57" t="s">
        <v>245</v>
      </c>
      <c r="F2336" s="57"/>
    </row>
    <row r="2337" spans="1:6" ht="12.75">
      <c r="A2337" s="8"/>
      <c r="B2337" s="9"/>
      <c r="C2337" s="8" t="s">
        <v>849</v>
      </c>
      <c r="D2337" s="9"/>
      <c r="E2337" s="57" t="s">
        <v>850</v>
      </c>
      <c r="F2337" s="57"/>
    </row>
    <row r="2338" spans="4:9" ht="12.75">
      <c r="D2338" s="5" t="s">
        <v>911</v>
      </c>
      <c r="E2338" s="55" t="s">
        <v>199</v>
      </c>
      <c r="F2338" s="55"/>
      <c r="G2338" s="24">
        <v>10921000</v>
      </c>
      <c r="H2338" s="24">
        <v>0</v>
      </c>
      <c r="I2338" s="24">
        <f aca="true" t="shared" si="115" ref="I2338:I2351">G2338+H2338</f>
        <v>10921000</v>
      </c>
    </row>
    <row r="2339" spans="4:9" ht="12.75">
      <c r="D2339" s="5" t="s">
        <v>912</v>
      </c>
      <c r="E2339" s="55" t="s">
        <v>877</v>
      </c>
      <c r="F2339" s="55"/>
      <c r="G2339" s="24">
        <v>1955000</v>
      </c>
      <c r="H2339" s="24">
        <v>0</v>
      </c>
      <c r="I2339" s="24">
        <f t="shared" si="115"/>
        <v>1955000</v>
      </c>
    </row>
    <row r="2340" spans="4:9" ht="12.75">
      <c r="D2340" s="5" t="s">
        <v>918</v>
      </c>
      <c r="E2340" s="55" t="s">
        <v>878</v>
      </c>
      <c r="F2340" s="55"/>
      <c r="G2340" s="24">
        <v>600000</v>
      </c>
      <c r="H2340" s="24">
        <v>0</v>
      </c>
      <c r="I2340" s="24">
        <f t="shared" si="115"/>
        <v>600000</v>
      </c>
    </row>
    <row r="2341" spans="4:9" ht="12.75">
      <c r="D2341" s="5" t="s">
        <v>921</v>
      </c>
      <c r="E2341" s="55" t="s">
        <v>880</v>
      </c>
      <c r="F2341" s="55"/>
      <c r="G2341" s="24">
        <v>80000</v>
      </c>
      <c r="H2341" s="24">
        <v>0</v>
      </c>
      <c r="I2341" s="24">
        <f t="shared" si="115"/>
        <v>80000</v>
      </c>
    </row>
    <row r="2342" spans="4:9" ht="12.75">
      <c r="D2342" s="5" t="s">
        <v>919</v>
      </c>
      <c r="E2342" s="55" t="s">
        <v>200</v>
      </c>
      <c r="F2342" s="55"/>
      <c r="G2342" s="24">
        <v>152000</v>
      </c>
      <c r="H2342" s="24">
        <v>0</v>
      </c>
      <c r="I2342" s="24">
        <f t="shared" si="115"/>
        <v>152000</v>
      </c>
    </row>
    <row r="2343" spans="4:9" ht="12.75">
      <c r="D2343" s="5" t="s">
        <v>913</v>
      </c>
      <c r="E2343" s="55" t="s">
        <v>881</v>
      </c>
      <c r="F2343" s="55"/>
      <c r="G2343" s="24">
        <v>467000</v>
      </c>
      <c r="H2343" s="24">
        <v>0</v>
      </c>
      <c r="I2343" s="24">
        <f t="shared" si="115"/>
        <v>467000</v>
      </c>
    </row>
    <row r="2344" spans="4:9" ht="12.75">
      <c r="D2344" s="5" t="s">
        <v>915</v>
      </c>
      <c r="E2344" s="55" t="s">
        <v>879</v>
      </c>
      <c r="F2344" s="55"/>
      <c r="G2344" s="24">
        <v>140000</v>
      </c>
      <c r="H2344" s="24">
        <v>0</v>
      </c>
      <c r="I2344" s="24">
        <f t="shared" si="115"/>
        <v>140000</v>
      </c>
    </row>
    <row r="2345" spans="4:9" ht="12.75">
      <c r="D2345" s="5" t="s">
        <v>916</v>
      </c>
      <c r="E2345" s="55" t="s">
        <v>882</v>
      </c>
      <c r="F2345" s="55"/>
      <c r="G2345" s="24">
        <v>2800000</v>
      </c>
      <c r="H2345" s="24">
        <v>0</v>
      </c>
      <c r="I2345" s="24">
        <f t="shared" si="115"/>
        <v>2800000</v>
      </c>
    </row>
    <row r="2346" spans="4:9" ht="12.75">
      <c r="D2346" s="5" t="s">
        <v>923</v>
      </c>
      <c r="E2346" s="55" t="s">
        <v>883</v>
      </c>
      <c r="F2346" s="55"/>
      <c r="G2346" s="24">
        <v>100000</v>
      </c>
      <c r="H2346" s="24">
        <v>0</v>
      </c>
      <c r="I2346" s="24">
        <f t="shared" si="115"/>
        <v>100000</v>
      </c>
    </row>
    <row r="2347" spans="4:9" ht="12.75">
      <c r="D2347" s="5" t="s">
        <v>924</v>
      </c>
      <c r="E2347" s="55" t="s">
        <v>203</v>
      </c>
      <c r="F2347" s="55"/>
      <c r="G2347" s="24">
        <v>990000</v>
      </c>
      <c r="H2347" s="24">
        <v>0</v>
      </c>
      <c r="I2347" s="24">
        <f t="shared" si="115"/>
        <v>990000</v>
      </c>
    </row>
    <row r="2348" spans="4:9" ht="12.75">
      <c r="D2348" s="5" t="s">
        <v>925</v>
      </c>
      <c r="E2348" s="55" t="s">
        <v>884</v>
      </c>
      <c r="F2348" s="55"/>
      <c r="G2348" s="24">
        <v>364000</v>
      </c>
      <c r="H2348" s="24">
        <v>18000</v>
      </c>
      <c r="I2348" s="24">
        <f t="shared" si="115"/>
        <v>382000</v>
      </c>
    </row>
    <row r="2349" spans="4:9" ht="12.75">
      <c r="D2349" s="5" t="s">
        <v>754</v>
      </c>
      <c r="E2349" s="55" t="s">
        <v>212</v>
      </c>
      <c r="F2349" s="55"/>
      <c r="G2349" s="24">
        <v>13000</v>
      </c>
      <c r="H2349" s="24">
        <v>0</v>
      </c>
      <c r="I2349" s="24">
        <f t="shared" si="115"/>
        <v>13000</v>
      </c>
    </row>
    <row r="2350" spans="4:9" ht="12.75">
      <c r="D2350" s="5" t="s">
        <v>926</v>
      </c>
      <c r="E2350" s="55" t="s">
        <v>885</v>
      </c>
      <c r="F2350" s="55"/>
      <c r="G2350" s="24">
        <v>460000</v>
      </c>
      <c r="H2350" s="24">
        <v>0</v>
      </c>
      <c r="I2350" s="24">
        <f t="shared" si="115"/>
        <v>460000</v>
      </c>
    </row>
    <row r="2351" spans="4:9" ht="13.5" thickBot="1">
      <c r="D2351" s="5" t="s">
        <v>927</v>
      </c>
      <c r="E2351" s="55" t="s">
        <v>886</v>
      </c>
      <c r="F2351" s="55"/>
      <c r="G2351" s="24">
        <v>307000</v>
      </c>
      <c r="H2351" s="24">
        <v>0</v>
      </c>
      <c r="I2351" s="24">
        <f t="shared" si="115"/>
        <v>307000</v>
      </c>
    </row>
    <row r="2352" spans="5:9" ht="12.75">
      <c r="E2352" s="58" t="s">
        <v>25</v>
      </c>
      <c r="F2352" s="58"/>
      <c r="G2352" s="25"/>
      <c r="H2352" s="25"/>
      <c r="I2352" s="25"/>
    </row>
    <row r="2353" spans="4:9" ht="12.75">
      <c r="D2353" s="5" t="s">
        <v>772</v>
      </c>
      <c r="E2353" s="55" t="s">
        <v>773</v>
      </c>
      <c r="F2353" s="55"/>
      <c r="G2353" s="24">
        <f>SUM(G2338:G2352)</f>
        <v>19349000</v>
      </c>
      <c r="I2353" s="24">
        <f>G2353+H2353</f>
        <v>19349000</v>
      </c>
    </row>
    <row r="2354" spans="4:9" ht="13.5" thickBot="1">
      <c r="D2354" s="5" t="s">
        <v>780</v>
      </c>
      <c r="E2354" s="55" t="s">
        <v>781</v>
      </c>
      <c r="F2354" s="55"/>
      <c r="H2354" s="24">
        <v>18000</v>
      </c>
      <c r="I2354" s="24">
        <f>G2354+H2354</f>
        <v>18000</v>
      </c>
    </row>
    <row r="2355" spans="5:9" ht="13.5" thickBot="1">
      <c r="E2355" s="56" t="s">
        <v>26</v>
      </c>
      <c r="F2355" s="56"/>
      <c r="G2355" s="26">
        <f>SUM(G2353:G2354)</f>
        <v>19349000</v>
      </c>
      <c r="H2355" s="26">
        <f>SUM(H2353:H2354)</f>
        <v>18000</v>
      </c>
      <c r="I2355" s="26">
        <f>G2355+H2355</f>
        <v>19367000</v>
      </c>
    </row>
    <row r="2356" spans="5:9" ht="12.75">
      <c r="E2356" s="58" t="s">
        <v>558</v>
      </c>
      <c r="F2356" s="58"/>
      <c r="G2356" s="25"/>
      <c r="H2356" s="25"/>
      <c r="I2356" s="25"/>
    </row>
    <row r="2357" spans="4:9" ht="12.75">
      <c r="D2357" s="5" t="s">
        <v>772</v>
      </c>
      <c r="E2357" s="55" t="s">
        <v>773</v>
      </c>
      <c r="F2357" s="55"/>
      <c r="G2357" s="24">
        <f>+G2353</f>
        <v>19349000</v>
      </c>
      <c r="H2357" s="24">
        <v>0</v>
      </c>
      <c r="I2357" s="24">
        <f>G2357+H2357</f>
        <v>19349000</v>
      </c>
    </row>
    <row r="2358" spans="4:9" ht="13.5" thickBot="1">
      <c r="D2358" s="5" t="s">
        <v>780</v>
      </c>
      <c r="E2358" s="55" t="s">
        <v>781</v>
      </c>
      <c r="F2358" s="55"/>
      <c r="G2358" s="24">
        <v>0</v>
      </c>
      <c r="H2358" s="24">
        <v>18000</v>
      </c>
      <c r="I2358" s="24">
        <f>G2358+H2358</f>
        <v>18000</v>
      </c>
    </row>
    <row r="2359" spans="5:9" ht="13.5" thickBot="1">
      <c r="E2359" s="56" t="s">
        <v>559</v>
      </c>
      <c r="F2359" s="56"/>
      <c r="G2359" s="26">
        <f>SUM(G2357:G2358)</f>
        <v>19349000</v>
      </c>
      <c r="H2359" s="26">
        <f>SUM(H2357:H2358)</f>
        <v>18000</v>
      </c>
      <c r="I2359" s="26">
        <f>G2359+H2359</f>
        <v>19367000</v>
      </c>
    </row>
    <row r="2361" spans="1:6" ht="26.25" customHeight="1">
      <c r="A2361" s="8" t="s">
        <v>766</v>
      </c>
      <c r="B2361" s="9" t="s">
        <v>560</v>
      </c>
      <c r="C2361" s="8"/>
      <c r="D2361" s="9"/>
      <c r="E2361" s="57" t="s">
        <v>699</v>
      </c>
      <c r="F2361" s="57"/>
    </row>
    <row r="2362" spans="1:6" ht="12.75">
      <c r="A2362" s="8"/>
      <c r="B2362" s="9"/>
      <c r="C2362" s="8" t="s">
        <v>849</v>
      </c>
      <c r="D2362" s="9"/>
      <c r="E2362" s="57" t="s">
        <v>850</v>
      </c>
      <c r="F2362" s="57"/>
    </row>
    <row r="2363" spans="4:9" ht="12.75">
      <c r="D2363" s="5" t="s">
        <v>911</v>
      </c>
      <c r="E2363" s="55" t="s">
        <v>199</v>
      </c>
      <c r="F2363" s="55"/>
      <c r="G2363" s="24">
        <v>3229000</v>
      </c>
      <c r="H2363" s="24">
        <v>300000</v>
      </c>
      <c r="I2363" s="24">
        <f aca="true" t="shared" si="116" ref="I2363:I2375">G2363+H2363</f>
        <v>3529000</v>
      </c>
    </row>
    <row r="2364" spans="4:9" ht="12.75">
      <c r="D2364" s="5" t="s">
        <v>912</v>
      </c>
      <c r="E2364" s="55" t="s">
        <v>877</v>
      </c>
      <c r="F2364" s="55"/>
      <c r="G2364" s="24">
        <v>588000</v>
      </c>
      <c r="H2364" s="24">
        <v>54000</v>
      </c>
      <c r="I2364" s="24">
        <f t="shared" si="116"/>
        <v>642000</v>
      </c>
    </row>
    <row r="2365" spans="4:9" ht="12.75">
      <c r="D2365" s="5" t="s">
        <v>918</v>
      </c>
      <c r="E2365" s="55" t="s">
        <v>878</v>
      </c>
      <c r="F2365" s="55"/>
      <c r="G2365" s="24">
        <v>80000</v>
      </c>
      <c r="H2365" s="24">
        <v>0</v>
      </c>
      <c r="I2365" s="24">
        <f t="shared" si="116"/>
        <v>80000</v>
      </c>
    </row>
    <row r="2366" spans="4:9" ht="12.75">
      <c r="D2366" s="5" t="s">
        <v>921</v>
      </c>
      <c r="E2366" s="55" t="s">
        <v>880</v>
      </c>
      <c r="F2366" s="55"/>
      <c r="G2366" s="24">
        <v>152000</v>
      </c>
      <c r="H2366" s="24">
        <v>0</v>
      </c>
      <c r="I2366" s="24">
        <f t="shared" si="116"/>
        <v>152000</v>
      </c>
    </row>
    <row r="2367" spans="4:9" ht="12.75">
      <c r="D2367" s="5" t="s">
        <v>922</v>
      </c>
      <c r="E2367" s="55" t="s">
        <v>201</v>
      </c>
      <c r="F2367" s="55"/>
      <c r="G2367" s="24">
        <v>0</v>
      </c>
      <c r="H2367" s="24">
        <v>300000</v>
      </c>
      <c r="I2367" s="24">
        <f t="shared" si="116"/>
        <v>300000</v>
      </c>
    </row>
    <row r="2368" spans="4:9" ht="12.75">
      <c r="D2368" s="5" t="s">
        <v>913</v>
      </c>
      <c r="E2368" s="55" t="s">
        <v>881</v>
      </c>
      <c r="F2368" s="55"/>
      <c r="G2368" s="24">
        <v>192000</v>
      </c>
      <c r="H2368" s="24">
        <v>46000</v>
      </c>
      <c r="I2368" s="24">
        <f t="shared" si="116"/>
        <v>238000</v>
      </c>
    </row>
    <row r="2369" spans="4:9" ht="12.75">
      <c r="D2369" s="5" t="s">
        <v>915</v>
      </c>
      <c r="E2369" s="55" t="s">
        <v>879</v>
      </c>
      <c r="F2369" s="55"/>
      <c r="G2369" s="24">
        <v>21000</v>
      </c>
      <c r="H2369" s="24">
        <v>100000</v>
      </c>
      <c r="I2369" s="24">
        <f t="shared" si="116"/>
        <v>121000</v>
      </c>
    </row>
    <row r="2370" spans="4:9" ht="12.75">
      <c r="D2370" s="5" t="s">
        <v>916</v>
      </c>
      <c r="E2370" s="55" t="s">
        <v>882</v>
      </c>
      <c r="F2370" s="55"/>
      <c r="G2370" s="24">
        <v>819000</v>
      </c>
      <c r="H2370" s="24">
        <v>2000000</v>
      </c>
      <c r="I2370" s="24">
        <f t="shared" si="116"/>
        <v>2819000</v>
      </c>
    </row>
    <row r="2371" spans="4:9" ht="12.75">
      <c r="D2371" s="5" t="s">
        <v>924</v>
      </c>
      <c r="E2371" s="55" t="s">
        <v>203</v>
      </c>
      <c r="F2371" s="55"/>
      <c r="G2371" s="24">
        <v>38000</v>
      </c>
      <c r="H2371" s="24">
        <v>0</v>
      </c>
      <c r="I2371" s="24">
        <f t="shared" si="116"/>
        <v>38000</v>
      </c>
    </row>
    <row r="2372" spans="4:9" ht="12.75">
      <c r="D2372" s="5" t="s">
        <v>925</v>
      </c>
      <c r="E2372" s="55" t="s">
        <v>884</v>
      </c>
      <c r="F2372" s="55"/>
      <c r="G2372" s="24">
        <v>307000</v>
      </c>
      <c r="H2372" s="24">
        <v>200000</v>
      </c>
      <c r="I2372" s="24">
        <f t="shared" si="116"/>
        <v>507000</v>
      </c>
    </row>
    <row r="2373" spans="4:9" ht="12.75">
      <c r="D2373" s="5" t="s">
        <v>754</v>
      </c>
      <c r="E2373" s="55" t="s">
        <v>212</v>
      </c>
      <c r="F2373" s="55"/>
      <c r="G2373" s="24">
        <v>7000</v>
      </c>
      <c r="H2373" s="24">
        <v>0</v>
      </c>
      <c r="I2373" s="24">
        <f t="shared" si="116"/>
        <v>7000</v>
      </c>
    </row>
    <row r="2374" spans="4:9" ht="12.75">
      <c r="D2374" s="5" t="s">
        <v>926</v>
      </c>
      <c r="E2374" s="55" t="s">
        <v>885</v>
      </c>
      <c r="F2374" s="55"/>
      <c r="G2374" s="24">
        <v>199000</v>
      </c>
      <c r="H2374" s="24">
        <v>0</v>
      </c>
      <c r="I2374" s="24">
        <f t="shared" si="116"/>
        <v>199000</v>
      </c>
    </row>
    <row r="2375" spans="4:9" ht="13.5" thickBot="1">
      <c r="D2375" s="5" t="s">
        <v>927</v>
      </c>
      <c r="E2375" s="55" t="s">
        <v>886</v>
      </c>
      <c r="F2375" s="55"/>
      <c r="G2375" s="24">
        <v>115000</v>
      </c>
      <c r="H2375" s="24">
        <v>0</v>
      </c>
      <c r="I2375" s="24">
        <f t="shared" si="116"/>
        <v>115000</v>
      </c>
    </row>
    <row r="2376" spans="5:9" ht="12.75">
      <c r="E2376" s="58" t="s">
        <v>25</v>
      </c>
      <c r="F2376" s="58"/>
      <c r="G2376" s="25"/>
      <c r="H2376" s="25"/>
      <c r="I2376" s="25"/>
    </row>
    <row r="2377" spans="4:9" ht="12.75">
      <c r="D2377" s="5" t="s">
        <v>772</v>
      </c>
      <c r="E2377" s="55" t="s">
        <v>773</v>
      </c>
      <c r="F2377" s="55"/>
      <c r="G2377" s="24">
        <f>SUM(G2363:G2376)</f>
        <v>5747000</v>
      </c>
      <c r="I2377" s="24">
        <f>G2377+H2377</f>
        <v>5747000</v>
      </c>
    </row>
    <row r="2378" spans="4:9" ht="12.75">
      <c r="D2378" s="5" t="s">
        <v>784</v>
      </c>
      <c r="E2378" s="55" t="s">
        <v>785</v>
      </c>
      <c r="F2378" s="55"/>
      <c r="H2378" s="24">
        <v>2000000</v>
      </c>
      <c r="I2378" s="24">
        <f>G2378+H2378</f>
        <v>2000000</v>
      </c>
    </row>
    <row r="2379" spans="4:9" ht="13.5" thickBot="1">
      <c r="D2379" s="5" t="s">
        <v>796</v>
      </c>
      <c r="E2379" s="55" t="s">
        <v>797</v>
      </c>
      <c r="F2379" s="55"/>
      <c r="H2379" s="24">
        <v>1000000</v>
      </c>
      <c r="I2379" s="24">
        <f>G2379+H2379</f>
        <v>1000000</v>
      </c>
    </row>
    <row r="2380" spans="5:9" ht="13.5" thickBot="1">
      <c r="E2380" s="56" t="s">
        <v>26</v>
      </c>
      <c r="F2380" s="56"/>
      <c r="G2380" s="26">
        <f>SUM(G2377:G2379)</f>
        <v>5747000</v>
      </c>
      <c r="H2380" s="26">
        <f>SUM(H2377:H2379)</f>
        <v>3000000</v>
      </c>
      <c r="I2380" s="26">
        <f>G2380+H2380</f>
        <v>8747000</v>
      </c>
    </row>
    <row r="2381" spans="5:9" ht="12.75">
      <c r="E2381" s="58" t="s">
        <v>561</v>
      </c>
      <c r="F2381" s="58"/>
      <c r="G2381" s="25"/>
      <c r="H2381" s="25"/>
      <c r="I2381" s="25"/>
    </row>
    <row r="2382" spans="4:9" ht="12.75">
      <c r="D2382" s="5" t="s">
        <v>772</v>
      </c>
      <c r="E2382" s="55" t="s">
        <v>773</v>
      </c>
      <c r="F2382" s="55"/>
      <c r="G2382" s="24">
        <f>+G2377</f>
        <v>5747000</v>
      </c>
      <c r="H2382" s="24">
        <v>0</v>
      </c>
      <c r="I2382" s="24">
        <f>G2382+H2382</f>
        <v>5747000</v>
      </c>
    </row>
    <row r="2383" spans="4:9" ht="12.75">
      <c r="D2383" s="5" t="s">
        <v>784</v>
      </c>
      <c r="E2383" s="55" t="s">
        <v>785</v>
      </c>
      <c r="F2383" s="55"/>
      <c r="H2383" s="24">
        <v>2000000</v>
      </c>
      <c r="I2383" s="24">
        <f>G2383+H2383</f>
        <v>2000000</v>
      </c>
    </row>
    <row r="2384" spans="4:9" ht="13.5" thickBot="1">
      <c r="D2384" s="5" t="s">
        <v>796</v>
      </c>
      <c r="E2384" s="55" t="s">
        <v>797</v>
      </c>
      <c r="F2384" s="55"/>
      <c r="G2384" s="24">
        <v>0</v>
      </c>
      <c r="H2384" s="24">
        <v>1000000</v>
      </c>
      <c r="I2384" s="24">
        <f>G2384+H2384</f>
        <v>1000000</v>
      </c>
    </row>
    <row r="2385" spans="5:9" ht="13.5" thickBot="1">
      <c r="E2385" s="56" t="s">
        <v>562</v>
      </c>
      <c r="F2385" s="56"/>
      <c r="G2385" s="26">
        <f>SUM(G2382:G2384)</f>
        <v>5747000</v>
      </c>
      <c r="H2385" s="26">
        <f>SUM(H2382:H2384)</f>
        <v>3000000</v>
      </c>
      <c r="I2385" s="26">
        <f>G2385+H2385</f>
        <v>8747000</v>
      </c>
    </row>
    <row r="2386" spans="5:9" ht="12.75">
      <c r="E2386" s="58" t="s">
        <v>389</v>
      </c>
      <c r="F2386" s="58"/>
      <c r="G2386" s="25"/>
      <c r="H2386" s="25"/>
      <c r="I2386" s="25"/>
    </row>
    <row r="2387" spans="4:9" ht="12.75">
      <c r="D2387" s="5" t="s">
        <v>772</v>
      </c>
      <c r="E2387" s="55" t="s">
        <v>773</v>
      </c>
      <c r="F2387" s="55"/>
      <c r="G2387" s="24">
        <f>+G2382+G2357+G2332+G2293+G2249+G2209+G2167+G2113</f>
        <v>11398567000</v>
      </c>
      <c r="H2387" s="24">
        <v>0</v>
      </c>
      <c r="I2387" s="24">
        <f aca="true" t="shared" si="117" ref="I2387:I2396">G2387+H2387</f>
        <v>11398567000</v>
      </c>
    </row>
    <row r="2388" spans="4:9" ht="12.75">
      <c r="D2388" s="5" t="s">
        <v>784</v>
      </c>
      <c r="E2388" s="55" t="s">
        <v>785</v>
      </c>
      <c r="F2388" s="55"/>
      <c r="G2388" s="24">
        <v>0</v>
      </c>
      <c r="H2388" s="24">
        <f>+H2383+H2333+H2294+H2250+H2210+H2168+H2121</f>
        <v>3107677068</v>
      </c>
      <c r="I2388" s="24">
        <f t="shared" si="117"/>
        <v>3107677068</v>
      </c>
    </row>
    <row r="2389" spans="4:9" ht="12.75">
      <c r="D2389" s="5" t="s">
        <v>778</v>
      </c>
      <c r="E2389" s="55" t="s">
        <v>779</v>
      </c>
      <c r="F2389" s="55"/>
      <c r="G2389" s="24">
        <v>0</v>
      </c>
      <c r="H2389" s="24">
        <f>+H2295+H2211+H2169+H2122</f>
        <v>117140985.25</v>
      </c>
      <c r="I2389" s="24">
        <f t="shared" si="117"/>
        <v>117140985.25</v>
      </c>
    </row>
    <row r="2390" spans="4:9" ht="12.75">
      <c r="D2390" s="5" t="s">
        <v>780</v>
      </c>
      <c r="E2390" s="55" t="s">
        <v>781</v>
      </c>
      <c r="F2390" s="55"/>
      <c r="G2390" s="24">
        <v>0</v>
      </c>
      <c r="H2390" s="24">
        <f>+H2358+H2296+H2212+H2170+H2123</f>
        <v>63392000</v>
      </c>
      <c r="I2390" s="24">
        <f t="shared" si="117"/>
        <v>63392000</v>
      </c>
    </row>
    <row r="2391" spans="4:9" ht="12.75">
      <c r="D2391" s="5" t="s">
        <v>853</v>
      </c>
      <c r="E2391" s="55" t="s">
        <v>854</v>
      </c>
      <c r="F2391" s="55"/>
      <c r="G2391" s="24">
        <v>0</v>
      </c>
      <c r="H2391" s="24">
        <f>+H2297+H2251+H2213+H2171</f>
        <v>2571100000</v>
      </c>
      <c r="I2391" s="24">
        <f t="shared" si="117"/>
        <v>2571100000</v>
      </c>
    </row>
    <row r="2392" spans="4:9" ht="12.75">
      <c r="D2392" s="5" t="s">
        <v>796</v>
      </c>
      <c r="E2392" s="55" t="s">
        <v>797</v>
      </c>
      <c r="F2392" s="55"/>
      <c r="G2392" s="24">
        <v>0</v>
      </c>
      <c r="H2392" s="24">
        <f>+H2384+H2298+H2214+H2172</f>
        <v>38722000</v>
      </c>
      <c r="I2392" s="24">
        <f t="shared" si="117"/>
        <v>38722000</v>
      </c>
    </row>
    <row r="2393" spans="4:9" ht="12.75">
      <c r="D2393" s="5" t="s">
        <v>786</v>
      </c>
      <c r="E2393" s="55" t="s">
        <v>787</v>
      </c>
      <c r="F2393" s="55"/>
      <c r="G2393" s="24">
        <v>0</v>
      </c>
      <c r="H2393" s="24">
        <f>+H2173</f>
        <v>768000</v>
      </c>
      <c r="I2393" s="24">
        <f t="shared" si="117"/>
        <v>768000</v>
      </c>
    </row>
    <row r="2394" spans="4:9" ht="12.75">
      <c r="D2394" s="5" t="s">
        <v>790</v>
      </c>
      <c r="E2394" s="55" t="s">
        <v>791</v>
      </c>
      <c r="F2394" s="55"/>
      <c r="G2394" s="24">
        <v>0</v>
      </c>
      <c r="H2394" s="24">
        <f>+H2215+H2174+H2124</f>
        <v>1051654863.48</v>
      </c>
      <c r="I2394" s="24">
        <f t="shared" si="117"/>
        <v>1051654863.48</v>
      </c>
    </row>
    <row r="2395" spans="4:9" ht="13.5" thickBot="1">
      <c r="D2395" s="5" t="s">
        <v>804</v>
      </c>
      <c r="E2395" s="55" t="s">
        <v>805</v>
      </c>
      <c r="F2395" s="55"/>
      <c r="G2395" s="24">
        <v>0</v>
      </c>
      <c r="H2395" s="24">
        <f>+H2299</f>
        <v>325000</v>
      </c>
      <c r="I2395" s="24">
        <f t="shared" si="117"/>
        <v>325000</v>
      </c>
    </row>
    <row r="2396" spans="5:9" ht="13.5" thickBot="1">
      <c r="E2396" s="56" t="s">
        <v>390</v>
      </c>
      <c r="F2396" s="56"/>
      <c r="G2396" s="26">
        <f>SUM(G2387:G2395)</f>
        <v>11398567000</v>
      </c>
      <c r="H2396" s="26">
        <f>SUM(H2387:H2395)</f>
        <v>6950779916.73</v>
      </c>
      <c r="I2396" s="26">
        <f t="shared" si="117"/>
        <v>18349346916.73</v>
      </c>
    </row>
    <row r="2398" spans="1:6" ht="12.75">
      <c r="A2398" s="8">
        <v>25</v>
      </c>
      <c r="B2398" s="9" t="s">
        <v>766</v>
      </c>
      <c r="C2398" s="8"/>
      <c r="D2398" s="9"/>
      <c r="E2398" s="57" t="s">
        <v>122</v>
      </c>
      <c r="F2398" s="57"/>
    </row>
    <row r="2399" spans="1:6" ht="12.75">
      <c r="A2399" s="8"/>
      <c r="B2399" s="9"/>
      <c r="C2399" s="8" t="s">
        <v>861</v>
      </c>
      <c r="D2399" s="9"/>
      <c r="E2399" s="57" t="s">
        <v>862</v>
      </c>
      <c r="F2399" s="57"/>
    </row>
    <row r="2400" spans="4:9" ht="12.75">
      <c r="D2400" s="5" t="s">
        <v>911</v>
      </c>
      <c r="E2400" s="55" t="s">
        <v>199</v>
      </c>
      <c r="F2400" s="55"/>
      <c r="G2400" s="24">
        <f>10029000+1560000</f>
        <v>11589000</v>
      </c>
      <c r="H2400" s="24">
        <v>0</v>
      </c>
      <c r="I2400" s="24">
        <f aca="true" t="shared" si="118" ref="I2400:I2416">G2400+H2400</f>
        <v>11589000</v>
      </c>
    </row>
    <row r="2401" spans="4:9" ht="12.75">
      <c r="D2401" s="5" t="s">
        <v>912</v>
      </c>
      <c r="E2401" s="55" t="s">
        <v>877</v>
      </c>
      <c r="F2401" s="55"/>
      <c r="G2401" s="24">
        <f>2187000+560000</f>
        <v>2747000</v>
      </c>
      <c r="H2401" s="24">
        <v>0</v>
      </c>
      <c r="I2401" s="24">
        <f t="shared" si="118"/>
        <v>2747000</v>
      </c>
    </row>
    <row r="2402" spans="4:9" ht="12.75">
      <c r="D2402" s="5" t="s">
        <v>918</v>
      </c>
      <c r="E2402" s="55" t="s">
        <v>878</v>
      </c>
      <c r="F2402" s="55"/>
      <c r="G2402" s="24">
        <f>77000+100000</f>
        <v>177000</v>
      </c>
      <c r="H2402" s="24">
        <v>0</v>
      </c>
      <c r="I2402" s="24">
        <f t="shared" si="118"/>
        <v>177000</v>
      </c>
    </row>
    <row r="2403" spans="4:9" ht="12.75">
      <c r="D2403" s="5" t="s">
        <v>921</v>
      </c>
      <c r="E2403" s="55" t="s">
        <v>880</v>
      </c>
      <c r="F2403" s="55"/>
      <c r="G2403" s="24">
        <v>33000</v>
      </c>
      <c r="H2403" s="24">
        <v>0</v>
      </c>
      <c r="I2403" s="24">
        <f t="shared" si="118"/>
        <v>33000</v>
      </c>
    </row>
    <row r="2404" spans="4:9" ht="12.75">
      <c r="D2404" s="5" t="s">
        <v>919</v>
      </c>
      <c r="E2404" s="55" t="s">
        <v>200</v>
      </c>
      <c r="F2404" s="55"/>
      <c r="G2404" s="24">
        <v>100000</v>
      </c>
      <c r="H2404" s="24">
        <v>0</v>
      </c>
      <c r="I2404" s="24">
        <f t="shared" si="118"/>
        <v>100000</v>
      </c>
    </row>
    <row r="2405" spans="4:9" ht="12.75">
      <c r="D2405" s="5" t="s">
        <v>913</v>
      </c>
      <c r="E2405" s="55" t="s">
        <v>881</v>
      </c>
      <c r="F2405" s="55"/>
      <c r="G2405" s="24">
        <f>1131000+900000</f>
        <v>2031000</v>
      </c>
      <c r="H2405" s="24">
        <v>1500000</v>
      </c>
      <c r="I2405" s="24">
        <f t="shared" si="118"/>
        <v>3531000</v>
      </c>
    </row>
    <row r="2406" spans="4:9" ht="12.75">
      <c r="D2406" s="5" t="s">
        <v>915</v>
      </c>
      <c r="E2406" s="55" t="s">
        <v>879</v>
      </c>
      <c r="F2406" s="55"/>
      <c r="G2406" s="24">
        <f>25000+1200000</f>
        <v>1225000</v>
      </c>
      <c r="H2406" s="24">
        <v>0</v>
      </c>
      <c r="I2406" s="24">
        <f t="shared" si="118"/>
        <v>1225000</v>
      </c>
    </row>
    <row r="2407" spans="4:9" ht="12.75">
      <c r="D2407" s="5" t="s">
        <v>916</v>
      </c>
      <c r="E2407" s="55" t="s">
        <v>882</v>
      </c>
      <c r="F2407" s="55"/>
      <c r="G2407" s="24">
        <f>217000+500000</f>
        <v>717000</v>
      </c>
      <c r="H2407" s="24">
        <v>1000000</v>
      </c>
      <c r="I2407" s="24">
        <f t="shared" si="118"/>
        <v>1717000</v>
      </c>
    </row>
    <row r="2408" spans="4:9" ht="12.75">
      <c r="D2408" s="5" t="s">
        <v>923</v>
      </c>
      <c r="E2408" s="55" t="s">
        <v>883</v>
      </c>
      <c r="F2408" s="55"/>
      <c r="G2408" s="24">
        <v>839000</v>
      </c>
      <c r="H2408" s="24">
        <v>750000</v>
      </c>
      <c r="I2408" s="24">
        <f t="shared" si="118"/>
        <v>1589000</v>
      </c>
    </row>
    <row r="2409" spans="4:9" ht="12.75">
      <c r="D2409" s="5" t="s">
        <v>924</v>
      </c>
      <c r="E2409" s="55" t="s">
        <v>203</v>
      </c>
      <c r="F2409" s="55"/>
      <c r="G2409" s="24">
        <v>130000</v>
      </c>
      <c r="H2409" s="24">
        <v>0</v>
      </c>
      <c r="I2409" s="24">
        <f t="shared" si="118"/>
        <v>130000</v>
      </c>
    </row>
    <row r="2410" spans="4:9" ht="12.75">
      <c r="D2410" s="5" t="s">
        <v>925</v>
      </c>
      <c r="E2410" s="55" t="s">
        <v>884</v>
      </c>
      <c r="F2410" s="55"/>
      <c r="G2410" s="24">
        <v>50000</v>
      </c>
      <c r="H2410" s="24">
        <v>0</v>
      </c>
      <c r="I2410" s="24">
        <f t="shared" si="118"/>
        <v>50000</v>
      </c>
    </row>
    <row r="2411" spans="4:9" ht="12.75">
      <c r="D2411" s="5" t="s">
        <v>750</v>
      </c>
      <c r="E2411" s="55" t="s">
        <v>887</v>
      </c>
      <c r="F2411" s="55"/>
      <c r="G2411" s="24">
        <v>121108000</v>
      </c>
      <c r="H2411" s="24">
        <v>0</v>
      </c>
      <c r="I2411" s="24">
        <f t="shared" si="118"/>
        <v>121108000</v>
      </c>
    </row>
    <row r="2412" spans="4:9" ht="12.75">
      <c r="D2412" s="5" t="s">
        <v>753</v>
      </c>
      <c r="E2412" s="55" t="s">
        <v>211</v>
      </c>
      <c r="F2412" s="55"/>
      <c r="G2412" s="24">
        <f>180608000-4720000</f>
        <v>175888000</v>
      </c>
      <c r="H2412" s="24">
        <v>8126517</v>
      </c>
      <c r="I2412" s="24">
        <f t="shared" si="118"/>
        <v>184014517</v>
      </c>
    </row>
    <row r="2413" spans="4:9" ht="12.75">
      <c r="D2413" s="5" t="s">
        <v>754</v>
      </c>
      <c r="E2413" s="55" t="s">
        <v>212</v>
      </c>
      <c r="F2413" s="55"/>
      <c r="G2413" s="24">
        <v>10000</v>
      </c>
      <c r="I2413" s="24">
        <f t="shared" si="118"/>
        <v>10000</v>
      </c>
    </row>
    <row r="2414" spans="4:9" ht="12.75">
      <c r="D2414" s="5" t="s">
        <v>755</v>
      </c>
      <c r="E2414" s="55" t="s">
        <v>213</v>
      </c>
      <c r="F2414" s="55"/>
      <c r="G2414" s="24">
        <v>17000</v>
      </c>
      <c r="I2414" s="24">
        <f t="shared" si="118"/>
        <v>17000</v>
      </c>
    </row>
    <row r="2415" spans="4:9" ht="12.75">
      <c r="D2415" s="5" t="s">
        <v>926</v>
      </c>
      <c r="E2415" s="55" t="s">
        <v>885</v>
      </c>
      <c r="F2415" s="55"/>
      <c r="G2415" s="24">
        <v>1000000</v>
      </c>
      <c r="H2415" s="24">
        <v>1250000</v>
      </c>
      <c r="I2415" s="24">
        <f t="shared" si="118"/>
        <v>2250000</v>
      </c>
    </row>
    <row r="2416" spans="4:9" ht="13.5" thickBot="1">
      <c r="D2416" s="5" t="s">
        <v>927</v>
      </c>
      <c r="E2416" s="55" t="s">
        <v>886</v>
      </c>
      <c r="F2416" s="55"/>
      <c r="G2416" s="24">
        <v>0</v>
      </c>
      <c r="H2416" s="24">
        <v>1250000</v>
      </c>
      <c r="I2416" s="24">
        <f t="shared" si="118"/>
        <v>1250000</v>
      </c>
    </row>
    <row r="2417" spans="5:9" ht="12.75">
      <c r="E2417" s="58" t="s">
        <v>87</v>
      </c>
      <c r="F2417" s="58"/>
      <c r="G2417" s="25"/>
      <c r="H2417" s="25"/>
      <c r="I2417" s="25"/>
    </row>
    <row r="2418" spans="4:9" ht="12.75">
      <c r="D2418" s="5" t="s">
        <v>772</v>
      </c>
      <c r="E2418" s="55" t="s">
        <v>773</v>
      </c>
      <c r="F2418" s="55"/>
      <c r="G2418" s="24">
        <f>SUM(G2400:G2417)</f>
        <v>317661000</v>
      </c>
      <c r="I2418" s="24">
        <f>G2418+H2418</f>
        <v>317661000</v>
      </c>
    </row>
    <row r="2419" spans="4:9" ht="13.5" thickBot="1">
      <c r="D2419" s="5" t="s">
        <v>784</v>
      </c>
      <c r="E2419" s="55" t="s">
        <v>785</v>
      </c>
      <c r="F2419" s="55"/>
      <c r="H2419" s="24">
        <v>13876517</v>
      </c>
      <c r="I2419" s="24">
        <f>G2419+H2419</f>
        <v>13876517</v>
      </c>
    </row>
    <row r="2420" spans="5:9" ht="13.5" thickBot="1">
      <c r="E2420" s="56" t="s">
        <v>88</v>
      </c>
      <c r="F2420" s="56"/>
      <c r="G2420" s="26">
        <f>SUM(G2418:G2419)</f>
        <v>317661000</v>
      </c>
      <c r="H2420" s="26">
        <f>SUM(H2418:H2419)</f>
        <v>13876517</v>
      </c>
      <c r="I2420" s="26">
        <f>G2420+H2420</f>
        <v>331537517</v>
      </c>
    </row>
    <row r="2421" spans="5:9" ht="12.75">
      <c r="E2421" s="58" t="s">
        <v>344</v>
      </c>
      <c r="F2421" s="58"/>
      <c r="G2421" s="25"/>
      <c r="H2421" s="25"/>
      <c r="I2421" s="25"/>
    </row>
    <row r="2422" spans="4:9" ht="12.75">
      <c r="D2422" s="5" t="s">
        <v>772</v>
      </c>
      <c r="E2422" s="55" t="s">
        <v>773</v>
      </c>
      <c r="F2422" s="55"/>
      <c r="G2422" s="24">
        <f>+G2418</f>
        <v>317661000</v>
      </c>
      <c r="H2422" s="24">
        <v>0</v>
      </c>
      <c r="I2422" s="24">
        <f>G2422+H2422</f>
        <v>317661000</v>
      </c>
    </row>
    <row r="2423" spans="4:9" ht="13.5" thickBot="1">
      <c r="D2423" s="5" t="s">
        <v>784</v>
      </c>
      <c r="E2423" s="55" t="s">
        <v>785</v>
      </c>
      <c r="F2423" s="55"/>
      <c r="G2423" s="24">
        <v>0</v>
      </c>
      <c r="H2423" s="24">
        <f>+H2419</f>
        <v>13876517</v>
      </c>
      <c r="I2423" s="24">
        <f>G2423+H2423</f>
        <v>13876517</v>
      </c>
    </row>
    <row r="2424" spans="5:9" ht="13.5" thickBot="1">
      <c r="E2424" s="56" t="s">
        <v>345</v>
      </c>
      <c r="F2424" s="56"/>
      <c r="G2424" s="26">
        <f>SUM(G2422:G2423)</f>
        <v>317661000</v>
      </c>
      <c r="H2424" s="26">
        <f>SUM(H2422:H2423)</f>
        <v>13876517</v>
      </c>
      <c r="I2424" s="26">
        <f>G2424+H2424</f>
        <v>331537517</v>
      </c>
    </row>
    <row r="2426" spans="1:6" ht="12.75">
      <c r="A2426" s="8" t="s">
        <v>766</v>
      </c>
      <c r="B2426" s="9" t="s">
        <v>563</v>
      </c>
      <c r="C2426" s="8"/>
      <c r="D2426" s="9"/>
      <c r="E2426" s="57" t="s">
        <v>246</v>
      </c>
      <c r="F2426" s="57"/>
    </row>
    <row r="2427" spans="1:6" ht="12.75">
      <c r="A2427" s="8"/>
      <c r="B2427" s="9"/>
      <c r="C2427" s="8" t="s">
        <v>861</v>
      </c>
      <c r="D2427" s="9"/>
      <c r="E2427" s="57" t="s">
        <v>862</v>
      </c>
      <c r="F2427" s="57"/>
    </row>
    <row r="2428" spans="1:9" ht="12.75">
      <c r="A2428" s="8"/>
      <c r="B2428" s="9"/>
      <c r="C2428" s="8"/>
      <c r="D2428" s="22" t="s">
        <v>930</v>
      </c>
      <c r="E2428" s="59" t="s">
        <v>209</v>
      </c>
      <c r="F2428" s="59"/>
      <c r="H2428" s="24">
        <v>12000000</v>
      </c>
      <c r="I2428" s="24">
        <f>G2428+H2428</f>
        <v>12000000</v>
      </c>
    </row>
    <row r="2429" spans="4:9" ht="12.75">
      <c r="D2429" s="5" t="s">
        <v>753</v>
      </c>
      <c r="E2429" s="55" t="s">
        <v>211</v>
      </c>
      <c r="F2429" s="55"/>
      <c r="G2429" s="24">
        <v>0</v>
      </c>
      <c r="H2429" s="24">
        <v>109855135.03</v>
      </c>
      <c r="I2429" s="24">
        <f>G2429+H2429</f>
        <v>109855135.03</v>
      </c>
    </row>
    <row r="2430" spans="4:9" ht="13.5" thickBot="1">
      <c r="D2430" s="5" t="s">
        <v>926</v>
      </c>
      <c r="E2430" s="55" t="s">
        <v>885</v>
      </c>
      <c r="F2430" s="55"/>
      <c r="G2430" s="24">
        <v>0</v>
      </c>
      <c r="H2430" s="24">
        <v>20000000</v>
      </c>
      <c r="I2430" s="24">
        <f>G2430+H2430</f>
        <v>20000000</v>
      </c>
    </row>
    <row r="2431" spans="5:9" ht="12.75">
      <c r="E2431" s="58" t="s">
        <v>87</v>
      </c>
      <c r="F2431" s="58"/>
      <c r="G2431" s="25"/>
      <c r="H2431" s="25"/>
      <c r="I2431" s="25"/>
    </row>
    <row r="2432" spans="4:9" ht="12.75">
      <c r="D2432" s="5" t="s">
        <v>784</v>
      </c>
      <c r="E2432" s="55" t="s">
        <v>785</v>
      </c>
      <c r="F2432" s="55"/>
      <c r="H2432" s="24">
        <v>110648191.31</v>
      </c>
      <c r="I2432" s="24">
        <f>G2432+H2432</f>
        <v>110648191.31</v>
      </c>
    </row>
    <row r="2433" spans="4:9" ht="13.5" thickBot="1">
      <c r="D2433" s="5" t="s">
        <v>825</v>
      </c>
      <c r="E2433" s="55" t="s">
        <v>905</v>
      </c>
      <c r="F2433" s="55"/>
      <c r="H2433" s="24">
        <v>31206943.72</v>
      </c>
      <c r="I2433" s="24">
        <f>G2433+H2433</f>
        <v>31206943.72</v>
      </c>
    </row>
    <row r="2434" spans="5:9" ht="13.5" thickBot="1">
      <c r="E2434" s="56" t="s">
        <v>88</v>
      </c>
      <c r="F2434" s="56"/>
      <c r="G2434" s="26">
        <f>SUM(G2432:G2433)</f>
        <v>0</v>
      </c>
      <c r="H2434" s="26">
        <f>SUM(H2432:H2433)</f>
        <v>141855135.03</v>
      </c>
      <c r="I2434" s="26">
        <f>G2434+H2434</f>
        <v>141855135.03</v>
      </c>
    </row>
    <row r="2435" spans="5:9" ht="12.75">
      <c r="E2435" s="58" t="s">
        <v>28</v>
      </c>
      <c r="F2435" s="58"/>
      <c r="G2435" s="25"/>
      <c r="H2435" s="25"/>
      <c r="I2435" s="25"/>
    </row>
    <row r="2436" spans="4:9" ht="12.75">
      <c r="D2436" s="5" t="s">
        <v>784</v>
      </c>
      <c r="E2436" s="55" t="s">
        <v>785</v>
      </c>
      <c r="F2436" s="55"/>
      <c r="G2436" s="24">
        <v>0</v>
      </c>
      <c r="H2436" s="24">
        <f>+H2432</f>
        <v>110648191.31</v>
      </c>
      <c r="I2436" s="24">
        <f>G2436+H2436</f>
        <v>110648191.31</v>
      </c>
    </row>
    <row r="2437" spans="4:9" ht="13.5" thickBot="1">
      <c r="D2437" s="5" t="s">
        <v>825</v>
      </c>
      <c r="E2437" s="55" t="s">
        <v>905</v>
      </c>
      <c r="F2437" s="55"/>
      <c r="G2437" s="24">
        <v>0</v>
      </c>
      <c r="H2437" s="24">
        <f>+H2433</f>
        <v>31206943.72</v>
      </c>
      <c r="I2437" s="24">
        <f>G2437+H2437</f>
        <v>31206943.72</v>
      </c>
    </row>
    <row r="2438" spans="5:9" ht="13.5" thickBot="1">
      <c r="E2438" s="56" t="s">
        <v>29</v>
      </c>
      <c r="F2438" s="56"/>
      <c r="G2438" s="26">
        <f>SUM(G2436:G2437)</f>
        <v>0</v>
      </c>
      <c r="H2438" s="26">
        <f>SUM(H2436:H2437)</f>
        <v>141855135.03</v>
      </c>
      <c r="I2438" s="26">
        <f>G2438+H2438</f>
        <v>141855135.03</v>
      </c>
    </row>
    <row r="2440" spans="1:6" ht="12.75">
      <c r="A2440" s="8" t="s">
        <v>766</v>
      </c>
      <c r="B2440" s="9" t="s">
        <v>564</v>
      </c>
      <c r="C2440" s="8"/>
      <c r="D2440" s="9"/>
      <c r="E2440" s="57" t="s">
        <v>247</v>
      </c>
      <c r="F2440" s="57"/>
    </row>
    <row r="2441" spans="1:6" ht="12.75">
      <c r="A2441" s="8"/>
      <c r="B2441" s="9"/>
      <c r="C2441" s="8" t="s">
        <v>861</v>
      </c>
      <c r="D2441" s="9"/>
      <c r="E2441" s="57" t="s">
        <v>862</v>
      </c>
      <c r="F2441" s="57"/>
    </row>
    <row r="2442" spans="4:9" ht="12.75">
      <c r="D2442" s="5" t="s">
        <v>911</v>
      </c>
      <c r="E2442" s="55" t="s">
        <v>199</v>
      </c>
      <c r="F2442" s="55"/>
      <c r="G2442" s="24">
        <v>3415000</v>
      </c>
      <c r="H2442" s="24">
        <v>0</v>
      </c>
      <c r="I2442" s="24">
        <f aca="true" t="shared" si="119" ref="I2442:I2449">G2442+H2442</f>
        <v>3415000</v>
      </c>
    </row>
    <row r="2443" spans="4:9" ht="12.75">
      <c r="D2443" s="5" t="s">
        <v>912</v>
      </c>
      <c r="E2443" s="55" t="s">
        <v>877</v>
      </c>
      <c r="F2443" s="55"/>
      <c r="G2443" s="24">
        <v>596000</v>
      </c>
      <c r="H2443" s="24">
        <v>0</v>
      </c>
      <c r="I2443" s="24">
        <f t="shared" si="119"/>
        <v>596000</v>
      </c>
    </row>
    <row r="2444" spans="4:9" ht="12.75">
      <c r="D2444" s="5" t="s">
        <v>919</v>
      </c>
      <c r="E2444" s="55" t="s">
        <v>200</v>
      </c>
      <c r="F2444" s="55"/>
      <c r="G2444" s="24">
        <v>7000</v>
      </c>
      <c r="H2444" s="24">
        <v>0</v>
      </c>
      <c r="I2444" s="24">
        <f t="shared" si="119"/>
        <v>7000</v>
      </c>
    </row>
    <row r="2445" spans="4:9" ht="12.75">
      <c r="D2445" s="5" t="s">
        <v>913</v>
      </c>
      <c r="E2445" s="55" t="s">
        <v>881</v>
      </c>
      <c r="F2445" s="55"/>
      <c r="G2445" s="24">
        <v>26000</v>
      </c>
      <c r="H2445" s="24">
        <v>0</v>
      </c>
      <c r="I2445" s="24">
        <f t="shared" si="119"/>
        <v>26000</v>
      </c>
    </row>
    <row r="2446" spans="4:9" ht="12.75">
      <c r="D2446" s="5" t="s">
        <v>915</v>
      </c>
      <c r="E2446" s="55" t="s">
        <v>879</v>
      </c>
      <c r="F2446" s="55"/>
      <c r="G2446" s="24">
        <v>96000</v>
      </c>
      <c r="H2446" s="24">
        <v>0</v>
      </c>
      <c r="I2446" s="24">
        <f t="shared" si="119"/>
        <v>96000</v>
      </c>
    </row>
    <row r="2447" spans="4:9" ht="12.75">
      <c r="D2447" s="5" t="s">
        <v>923</v>
      </c>
      <c r="E2447" s="55" t="s">
        <v>883</v>
      </c>
      <c r="F2447" s="55"/>
      <c r="G2447" s="24">
        <v>208000</v>
      </c>
      <c r="H2447" s="24">
        <v>0</v>
      </c>
      <c r="I2447" s="24">
        <f t="shared" si="119"/>
        <v>208000</v>
      </c>
    </row>
    <row r="2448" spans="4:9" ht="12.75">
      <c r="D2448" s="5" t="s">
        <v>925</v>
      </c>
      <c r="E2448" s="55" t="s">
        <v>884</v>
      </c>
      <c r="F2448" s="55"/>
      <c r="G2448" s="24">
        <v>533000</v>
      </c>
      <c r="H2448" s="24">
        <v>0</v>
      </c>
      <c r="I2448" s="24">
        <f t="shared" si="119"/>
        <v>533000</v>
      </c>
    </row>
    <row r="2449" spans="4:9" ht="13.5" thickBot="1">
      <c r="D2449" s="5" t="s">
        <v>754</v>
      </c>
      <c r="E2449" s="55" t="s">
        <v>212</v>
      </c>
      <c r="F2449" s="55"/>
      <c r="G2449" s="24">
        <v>10000</v>
      </c>
      <c r="H2449" s="24">
        <v>0</v>
      </c>
      <c r="I2449" s="24">
        <f t="shared" si="119"/>
        <v>10000</v>
      </c>
    </row>
    <row r="2450" spans="5:9" ht="12.75">
      <c r="E2450" s="58" t="s">
        <v>87</v>
      </c>
      <c r="F2450" s="58"/>
      <c r="G2450" s="25"/>
      <c r="H2450" s="25"/>
      <c r="I2450" s="25"/>
    </row>
    <row r="2451" spans="4:9" ht="13.5" thickBot="1">
      <c r="D2451" s="5" t="s">
        <v>772</v>
      </c>
      <c r="E2451" s="55" t="s">
        <v>773</v>
      </c>
      <c r="F2451" s="55"/>
      <c r="G2451" s="24">
        <f>SUM(G2442:G2450)</f>
        <v>4891000</v>
      </c>
      <c r="I2451" s="24">
        <f>G2451+H2451</f>
        <v>4891000</v>
      </c>
    </row>
    <row r="2452" spans="5:9" ht="13.5" thickBot="1">
      <c r="E2452" s="56" t="s">
        <v>88</v>
      </c>
      <c r="F2452" s="56"/>
      <c r="G2452" s="26">
        <f>SUM(G2451:G2451)</f>
        <v>4891000</v>
      </c>
      <c r="H2452" s="26">
        <f>SUM(H2451:H2451)</f>
        <v>0</v>
      </c>
      <c r="I2452" s="26">
        <f>G2452+H2452</f>
        <v>4891000</v>
      </c>
    </row>
    <row r="2453" spans="5:9" ht="12.75">
      <c r="E2453" s="58" t="s">
        <v>565</v>
      </c>
      <c r="F2453" s="58"/>
      <c r="G2453" s="25"/>
      <c r="H2453" s="25"/>
      <c r="I2453" s="25"/>
    </row>
    <row r="2454" spans="4:9" ht="13.5" thickBot="1">
      <c r="D2454" s="5" t="s">
        <v>772</v>
      </c>
      <c r="E2454" s="55" t="s">
        <v>773</v>
      </c>
      <c r="F2454" s="55"/>
      <c r="G2454" s="24">
        <f>+G2451</f>
        <v>4891000</v>
      </c>
      <c r="H2454" s="24">
        <v>0</v>
      </c>
      <c r="I2454" s="24">
        <f>G2454+H2454</f>
        <v>4891000</v>
      </c>
    </row>
    <row r="2455" spans="5:9" ht="13.5" thickBot="1">
      <c r="E2455" s="56" t="s">
        <v>566</v>
      </c>
      <c r="F2455" s="56"/>
      <c r="G2455" s="26">
        <f>SUM(G2454:G2454)</f>
        <v>4891000</v>
      </c>
      <c r="H2455" s="26">
        <f>SUM(H2454:H2454)</f>
        <v>0</v>
      </c>
      <c r="I2455" s="26">
        <f>G2455+H2455</f>
        <v>4891000</v>
      </c>
    </row>
    <row r="2456" spans="5:9" ht="12.75">
      <c r="E2456" s="58" t="s">
        <v>391</v>
      </c>
      <c r="F2456" s="58"/>
      <c r="G2456" s="25"/>
      <c r="H2456" s="25"/>
      <c r="I2456" s="25"/>
    </row>
    <row r="2457" spans="4:9" ht="12.75">
      <c r="D2457" s="5" t="s">
        <v>772</v>
      </c>
      <c r="E2457" s="55" t="s">
        <v>773</v>
      </c>
      <c r="F2457" s="55"/>
      <c r="G2457" s="24">
        <f>+G2454+G2422</f>
        <v>322552000</v>
      </c>
      <c r="H2457" s="24">
        <v>0</v>
      </c>
      <c r="I2457" s="24">
        <f>G2457+H2457</f>
        <v>322552000</v>
      </c>
    </row>
    <row r="2458" spans="4:9" ht="12.75">
      <c r="D2458" s="5" t="s">
        <v>784</v>
      </c>
      <c r="E2458" s="55" t="s">
        <v>785</v>
      </c>
      <c r="F2458" s="55"/>
      <c r="G2458" s="24">
        <v>0</v>
      </c>
      <c r="H2458" s="24">
        <f>+H2436+H2423</f>
        <v>124524708.31</v>
      </c>
      <c r="I2458" s="24">
        <f>G2458+H2458</f>
        <v>124524708.31</v>
      </c>
    </row>
    <row r="2459" spans="4:9" ht="13.5" thickBot="1">
      <c r="D2459" s="5" t="s">
        <v>825</v>
      </c>
      <c r="E2459" s="55" t="s">
        <v>905</v>
      </c>
      <c r="F2459" s="55"/>
      <c r="G2459" s="24">
        <v>0</v>
      </c>
      <c r="H2459" s="24">
        <f>+H2437</f>
        <v>31206943.72</v>
      </c>
      <c r="I2459" s="24">
        <f>G2459+H2459</f>
        <v>31206943.72</v>
      </c>
    </row>
    <row r="2460" spans="5:9" ht="13.5" thickBot="1">
      <c r="E2460" s="56" t="s">
        <v>392</v>
      </c>
      <c r="F2460" s="56"/>
      <c r="G2460" s="26">
        <f>SUM(G2457:G2459)</f>
        <v>322552000</v>
      </c>
      <c r="H2460" s="26">
        <f>SUM(H2457:H2459)</f>
        <v>155731652.03</v>
      </c>
      <c r="I2460" s="26">
        <f>G2460+H2460</f>
        <v>478283652.03</v>
      </c>
    </row>
    <row r="2461" spans="5:9" ht="12.75">
      <c r="E2461" s="12"/>
      <c r="F2461" s="12"/>
      <c r="G2461" s="29"/>
      <c r="H2461" s="29"/>
      <c r="I2461" s="29"/>
    </row>
    <row r="2462" spans="1:6" ht="12.75">
      <c r="A2462" s="8">
        <v>26</v>
      </c>
      <c r="B2462" s="9" t="s">
        <v>766</v>
      </c>
      <c r="C2462" s="8"/>
      <c r="D2462" s="9"/>
      <c r="E2462" s="57" t="s">
        <v>252</v>
      </c>
      <c r="F2462" s="57"/>
    </row>
    <row r="2463" spans="1:6" ht="12.75">
      <c r="A2463" s="8"/>
      <c r="B2463" s="9"/>
      <c r="C2463" s="8" t="s">
        <v>863</v>
      </c>
      <c r="D2463" s="9"/>
      <c r="E2463" s="57" t="s">
        <v>864</v>
      </c>
      <c r="F2463" s="57"/>
    </row>
    <row r="2464" spans="4:9" ht="12.75">
      <c r="D2464" s="5" t="s">
        <v>911</v>
      </c>
      <c r="E2464" s="55" t="s">
        <v>199</v>
      </c>
      <c r="F2464" s="55"/>
      <c r="G2464" s="24">
        <v>32667000</v>
      </c>
      <c r="H2464" s="24">
        <v>0</v>
      </c>
      <c r="I2464" s="24">
        <f aca="true" t="shared" si="120" ref="I2464:I2471">G2464+H2464</f>
        <v>32667000</v>
      </c>
    </row>
    <row r="2465" spans="4:9" ht="12.75">
      <c r="D2465" s="5" t="s">
        <v>912</v>
      </c>
      <c r="E2465" s="55" t="s">
        <v>877</v>
      </c>
      <c r="F2465" s="55"/>
      <c r="G2465" s="24">
        <v>5922000</v>
      </c>
      <c r="H2465" s="24">
        <v>0</v>
      </c>
      <c r="I2465" s="24">
        <f t="shared" si="120"/>
        <v>5922000</v>
      </c>
    </row>
    <row r="2466" spans="4:9" ht="12.75">
      <c r="D2466" s="5" t="s">
        <v>921</v>
      </c>
      <c r="E2466" s="55" t="s">
        <v>880</v>
      </c>
      <c r="F2466" s="55"/>
      <c r="G2466" s="24">
        <v>800000</v>
      </c>
      <c r="H2466" s="24">
        <v>0</v>
      </c>
      <c r="I2466" s="24">
        <f t="shared" si="120"/>
        <v>800000</v>
      </c>
    </row>
    <row r="2467" spans="4:9" ht="12.75">
      <c r="D2467" s="5" t="s">
        <v>919</v>
      </c>
      <c r="E2467" s="55" t="s">
        <v>200</v>
      </c>
      <c r="F2467" s="55"/>
      <c r="G2467" s="24">
        <v>1000000</v>
      </c>
      <c r="H2467" s="24">
        <v>0</v>
      </c>
      <c r="I2467" s="24">
        <f t="shared" si="120"/>
        <v>1000000</v>
      </c>
    </row>
    <row r="2468" spans="4:9" ht="12.75">
      <c r="D2468" s="5" t="s">
        <v>913</v>
      </c>
      <c r="E2468" s="55" t="s">
        <v>881</v>
      </c>
      <c r="F2468" s="55"/>
      <c r="G2468" s="24">
        <v>2334000</v>
      </c>
      <c r="H2468" s="24">
        <v>0</v>
      </c>
      <c r="I2468" s="24">
        <f t="shared" si="120"/>
        <v>2334000</v>
      </c>
    </row>
    <row r="2469" spans="4:9" ht="12.75">
      <c r="D2469" s="5" t="s">
        <v>915</v>
      </c>
      <c r="E2469" s="55" t="s">
        <v>879</v>
      </c>
      <c r="F2469" s="55"/>
      <c r="G2469" s="24">
        <v>3882000</v>
      </c>
      <c r="H2469" s="24">
        <v>0</v>
      </c>
      <c r="I2469" s="24">
        <f t="shared" si="120"/>
        <v>3882000</v>
      </c>
    </row>
    <row r="2470" spans="4:9" ht="12.75">
      <c r="D2470" s="5" t="s">
        <v>916</v>
      </c>
      <c r="E2470" s="55" t="s">
        <v>882</v>
      </c>
      <c r="F2470" s="55"/>
      <c r="G2470" s="24">
        <v>4281000</v>
      </c>
      <c r="H2470" s="24">
        <v>0</v>
      </c>
      <c r="I2470" s="24">
        <f t="shared" si="120"/>
        <v>4281000</v>
      </c>
    </row>
    <row r="2471" spans="4:9" ht="12.75">
      <c r="D2471" s="5" t="s">
        <v>923</v>
      </c>
      <c r="E2471" s="55" t="s">
        <v>883</v>
      </c>
      <c r="F2471" s="55"/>
      <c r="G2471" s="24">
        <f>412451000+8500000</f>
        <v>420951000</v>
      </c>
      <c r="H2471" s="24">
        <v>750000</v>
      </c>
      <c r="I2471" s="24">
        <f t="shared" si="120"/>
        <v>421701000</v>
      </c>
    </row>
    <row r="2472" spans="5:6" ht="408.75" customHeight="1">
      <c r="E2472" s="63" t="s">
        <v>130</v>
      </c>
      <c r="F2472" s="55"/>
    </row>
    <row r="2473" spans="4:9" ht="12.75">
      <c r="D2473" s="5" t="s">
        <v>924</v>
      </c>
      <c r="E2473" s="55" t="s">
        <v>203</v>
      </c>
      <c r="F2473" s="55"/>
      <c r="G2473" s="24">
        <v>60000</v>
      </c>
      <c r="H2473" s="24">
        <v>0</v>
      </c>
      <c r="I2473" s="24">
        <f>G2473+H2473</f>
        <v>60000</v>
      </c>
    </row>
    <row r="2474" spans="4:9" ht="12.75">
      <c r="D2474" s="5" t="s">
        <v>925</v>
      </c>
      <c r="E2474" s="55" t="s">
        <v>884</v>
      </c>
      <c r="F2474" s="55"/>
      <c r="G2474" s="24">
        <v>756000</v>
      </c>
      <c r="H2474" s="24">
        <v>0</v>
      </c>
      <c r="I2474" s="24">
        <f>G2474+H2474</f>
        <v>756000</v>
      </c>
    </row>
    <row r="2475" spans="4:9" ht="12.75">
      <c r="D2475" s="5" t="s">
        <v>749</v>
      </c>
      <c r="E2475" s="55" t="s">
        <v>896</v>
      </c>
      <c r="F2475" s="55"/>
      <c r="G2475" s="7">
        <v>232191000</v>
      </c>
      <c r="H2475" s="7">
        <v>0</v>
      </c>
      <c r="I2475" s="7">
        <f>G2475+H2475</f>
        <v>232191000</v>
      </c>
    </row>
    <row r="2476" spans="5:6" ht="67.5" customHeight="1">
      <c r="E2476" s="55" t="s">
        <v>463</v>
      </c>
      <c r="F2476" s="55"/>
    </row>
    <row r="2477" spans="4:9" ht="12.75">
      <c r="D2477" s="5" t="s">
        <v>930</v>
      </c>
      <c r="E2477" s="55" t="s">
        <v>209</v>
      </c>
      <c r="F2477" s="55"/>
      <c r="G2477" s="24">
        <v>146694000</v>
      </c>
      <c r="H2477" s="24">
        <v>0</v>
      </c>
      <c r="I2477" s="24">
        <f>G2477+H2477</f>
        <v>146694000</v>
      </c>
    </row>
    <row r="2478" spans="4:9" ht="12.75">
      <c r="D2478" s="5" t="s">
        <v>753</v>
      </c>
      <c r="E2478" s="55" t="s">
        <v>211</v>
      </c>
      <c r="F2478" s="55"/>
      <c r="G2478" s="24">
        <v>54000000</v>
      </c>
      <c r="H2478" s="24">
        <v>0</v>
      </c>
      <c r="I2478" s="24">
        <f>G2478+H2478</f>
        <v>54000000</v>
      </c>
    </row>
    <row r="2479" spans="5:6" ht="44.25" customHeight="1">
      <c r="E2479" s="55" t="s">
        <v>377</v>
      </c>
      <c r="F2479" s="55"/>
    </row>
    <row r="2480" spans="4:9" ht="12.75">
      <c r="D2480" s="5" t="s">
        <v>754</v>
      </c>
      <c r="E2480" s="55" t="s">
        <v>212</v>
      </c>
      <c r="F2480" s="55"/>
      <c r="G2480" s="24">
        <v>100000</v>
      </c>
      <c r="H2480" s="24">
        <v>0</v>
      </c>
      <c r="I2480" s="24">
        <f>G2480+H2480</f>
        <v>100000</v>
      </c>
    </row>
    <row r="2481" spans="4:9" ht="12.75">
      <c r="D2481" s="5" t="s">
        <v>755</v>
      </c>
      <c r="E2481" s="55" t="s">
        <v>213</v>
      </c>
      <c r="F2481" s="55"/>
      <c r="G2481" s="24">
        <v>10000</v>
      </c>
      <c r="H2481" s="24">
        <v>0</v>
      </c>
      <c r="I2481" s="24">
        <f>G2481+H2481</f>
        <v>10000</v>
      </c>
    </row>
    <row r="2482" spans="4:9" ht="13.5" thickBot="1">
      <c r="D2482" s="5" t="s">
        <v>927</v>
      </c>
      <c r="E2482" s="55" t="s">
        <v>886</v>
      </c>
      <c r="F2482" s="55"/>
      <c r="G2482" s="24">
        <v>576000</v>
      </c>
      <c r="H2482" s="24">
        <v>0</v>
      </c>
      <c r="I2482" s="24">
        <f>G2482+H2482</f>
        <v>576000</v>
      </c>
    </row>
    <row r="2483" spans="5:9" ht="12.75">
      <c r="E2483" s="58" t="s">
        <v>97</v>
      </c>
      <c r="F2483" s="58"/>
      <c r="G2483" s="25"/>
      <c r="H2483" s="25"/>
      <c r="I2483" s="25"/>
    </row>
    <row r="2484" spans="4:9" ht="12.75">
      <c r="D2484" s="5" t="s">
        <v>772</v>
      </c>
      <c r="E2484" s="55" t="s">
        <v>773</v>
      </c>
      <c r="F2484" s="55"/>
      <c r="G2484" s="24">
        <f>SUM(G2464:G2483)</f>
        <v>906224000</v>
      </c>
      <c r="I2484" s="24">
        <f>G2484+H2484</f>
        <v>906224000</v>
      </c>
    </row>
    <row r="2485" spans="4:9" ht="13.5" thickBot="1">
      <c r="D2485" s="5" t="s">
        <v>784</v>
      </c>
      <c r="E2485" s="55" t="s">
        <v>785</v>
      </c>
      <c r="F2485" s="55"/>
      <c r="H2485" s="24">
        <v>750000</v>
      </c>
      <c r="I2485" s="24">
        <f>G2485+H2485</f>
        <v>750000</v>
      </c>
    </row>
    <row r="2486" spans="5:9" ht="13.5" thickBot="1">
      <c r="E2486" s="56" t="s">
        <v>98</v>
      </c>
      <c r="F2486" s="56"/>
      <c r="G2486" s="26">
        <f>SUM(G2484:G2485)</f>
        <v>906224000</v>
      </c>
      <c r="H2486" s="26">
        <f>SUM(H2484:H2485)</f>
        <v>750000</v>
      </c>
      <c r="I2486" s="26">
        <f>G2486+H2486</f>
        <v>906974000</v>
      </c>
    </row>
    <row r="2487" spans="5:9" ht="12.75">
      <c r="E2487" s="58" t="s">
        <v>344</v>
      </c>
      <c r="F2487" s="58"/>
      <c r="G2487" s="25"/>
      <c r="H2487" s="25"/>
      <c r="I2487" s="25"/>
    </row>
    <row r="2488" spans="4:9" ht="12.75">
      <c r="D2488" s="5" t="s">
        <v>772</v>
      </c>
      <c r="E2488" s="55" t="s">
        <v>773</v>
      </c>
      <c r="F2488" s="55"/>
      <c r="G2488" s="24">
        <f>+G2484</f>
        <v>906224000</v>
      </c>
      <c r="H2488" s="24">
        <v>0</v>
      </c>
      <c r="I2488" s="24">
        <f>G2488+H2488</f>
        <v>906224000</v>
      </c>
    </row>
    <row r="2489" spans="4:9" ht="13.5" thickBot="1">
      <c r="D2489" s="5" t="s">
        <v>784</v>
      </c>
      <c r="E2489" s="55" t="s">
        <v>785</v>
      </c>
      <c r="F2489" s="55"/>
      <c r="G2489" s="24">
        <v>0</v>
      </c>
      <c r="H2489" s="24">
        <v>750000</v>
      </c>
      <c r="I2489" s="24">
        <f>G2489+H2489</f>
        <v>750000</v>
      </c>
    </row>
    <row r="2490" spans="5:9" ht="13.5" thickBot="1">
      <c r="E2490" s="56" t="s">
        <v>345</v>
      </c>
      <c r="F2490" s="56"/>
      <c r="G2490" s="26">
        <f>SUM(G2488:G2489)</f>
        <v>906224000</v>
      </c>
      <c r="H2490" s="26">
        <f>SUM(H2488:H2489)</f>
        <v>750000</v>
      </c>
      <c r="I2490" s="26">
        <f>G2490+H2490</f>
        <v>906974000</v>
      </c>
    </row>
    <row r="2491" ht="8.25" customHeight="1"/>
    <row r="2492" spans="1:6" ht="12.75">
      <c r="A2492" s="8" t="s">
        <v>766</v>
      </c>
      <c r="B2492" s="9" t="s">
        <v>567</v>
      </c>
      <c r="C2492" s="8"/>
      <c r="D2492" s="9"/>
      <c r="E2492" s="57" t="s">
        <v>254</v>
      </c>
      <c r="F2492" s="57"/>
    </row>
    <row r="2493" spans="1:6" ht="12.75">
      <c r="A2493" s="8"/>
      <c r="B2493" s="9"/>
      <c r="C2493" s="8" t="s">
        <v>863</v>
      </c>
      <c r="D2493" s="9"/>
      <c r="E2493" s="57" t="s">
        <v>864</v>
      </c>
      <c r="F2493" s="57"/>
    </row>
    <row r="2494" spans="4:9" ht="12.75">
      <c r="D2494" s="5" t="s">
        <v>911</v>
      </c>
      <c r="E2494" s="55" t="s">
        <v>199</v>
      </c>
      <c r="F2494" s="55"/>
      <c r="G2494" s="24">
        <v>579214000</v>
      </c>
      <c r="H2494" s="24">
        <v>17880000</v>
      </c>
      <c r="I2494" s="24">
        <f aca="true" t="shared" si="121" ref="I2494:I2509">G2494+H2494</f>
        <v>597094000</v>
      </c>
    </row>
    <row r="2495" spans="4:9" ht="12.75">
      <c r="D2495" s="5" t="s">
        <v>912</v>
      </c>
      <c r="E2495" s="55" t="s">
        <v>877</v>
      </c>
      <c r="F2495" s="55"/>
      <c r="G2495" s="24">
        <v>105047000</v>
      </c>
      <c r="H2495" s="24">
        <v>3092000</v>
      </c>
      <c r="I2495" s="24">
        <f t="shared" si="121"/>
        <v>108139000</v>
      </c>
    </row>
    <row r="2496" spans="4:9" ht="12.75">
      <c r="D2496" s="5" t="s">
        <v>918</v>
      </c>
      <c r="E2496" s="55" t="s">
        <v>878</v>
      </c>
      <c r="F2496" s="55"/>
      <c r="G2496" s="24">
        <v>2550000</v>
      </c>
      <c r="H2496" s="24">
        <v>88000</v>
      </c>
      <c r="I2496" s="24">
        <f t="shared" si="121"/>
        <v>2638000</v>
      </c>
    </row>
    <row r="2497" spans="4:9" ht="12.75">
      <c r="D2497" s="5" t="s">
        <v>921</v>
      </c>
      <c r="E2497" s="55" t="s">
        <v>880</v>
      </c>
      <c r="F2497" s="55"/>
      <c r="G2497" s="24">
        <v>900000</v>
      </c>
      <c r="H2497" s="24">
        <v>4217000</v>
      </c>
      <c r="I2497" s="24">
        <f t="shared" si="121"/>
        <v>5117000</v>
      </c>
    </row>
    <row r="2498" spans="4:9" ht="12.75">
      <c r="D2498" s="5" t="s">
        <v>919</v>
      </c>
      <c r="E2498" s="55" t="s">
        <v>200</v>
      </c>
      <c r="F2498" s="55"/>
      <c r="G2498" s="24">
        <v>20105000</v>
      </c>
      <c r="H2498" s="24">
        <v>1334000</v>
      </c>
      <c r="I2498" s="24">
        <f t="shared" si="121"/>
        <v>21439000</v>
      </c>
    </row>
    <row r="2499" spans="4:9" ht="12.75">
      <c r="D2499" s="5" t="s">
        <v>922</v>
      </c>
      <c r="E2499" s="55" t="s">
        <v>201</v>
      </c>
      <c r="F2499" s="55"/>
      <c r="G2499" s="24">
        <v>6200000</v>
      </c>
      <c r="H2499" s="24">
        <v>694000</v>
      </c>
      <c r="I2499" s="24">
        <f t="shared" si="121"/>
        <v>6894000</v>
      </c>
    </row>
    <row r="2500" spans="4:9" ht="12.75">
      <c r="D2500" s="5" t="s">
        <v>913</v>
      </c>
      <c r="E2500" s="55" t="s">
        <v>881</v>
      </c>
      <c r="F2500" s="55"/>
      <c r="G2500" s="24">
        <v>95850000</v>
      </c>
      <c r="H2500" s="24">
        <v>2099000</v>
      </c>
      <c r="I2500" s="24">
        <f t="shared" si="121"/>
        <v>97949000</v>
      </c>
    </row>
    <row r="2501" spans="4:9" ht="12.75">
      <c r="D2501" s="5" t="s">
        <v>915</v>
      </c>
      <c r="E2501" s="55" t="s">
        <v>879</v>
      </c>
      <c r="F2501" s="55"/>
      <c r="G2501" s="24">
        <v>6052000</v>
      </c>
      <c r="H2501" s="24">
        <v>1793000</v>
      </c>
      <c r="I2501" s="24">
        <f t="shared" si="121"/>
        <v>7845000</v>
      </c>
    </row>
    <row r="2502" spans="4:9" ht="12.75">
      <c r="D2502" s="5" t="s">
        <v>916</v>
      </c>
      <c r="E2502" s="55" t="s">
        <v>882</v>
      </c>
      <c r="F2502" s="55"/>
      <c r="G2502" s="24">
        <v>39801000</v>
      </c>
      <c r="H2502" s="24">
        <v>7525000</v>
      </c>
      <c r="I2502" s="24">
        <f t="shared" si="121"/>
        <v>47326000</v>
      </c>
    </row>
    <row r="2503" spans="4:9" ht="12.75">
      <c r="D2503" s="5" t="s">
        <v>923</v>
      </c>
      <c r="E2503" s="55" t="s">
        <v>883</v>
      </c>
      <c r="F2503" s="55"/>
      <c r="G2503" s="24">
        <v>40935000</v>
      </c>
      <c r="H2503" s="24">
        <v>2535000</v>
      </c>
      <c r="I2503" s="24">
        <f t="shared" si="121"/>
        <v>43470000</v>
      </c>
    </row>
    <row r="2504" spans="4:9" ht="12.75">
      <c r="D2504" s="5" t="s">
        <v>924</v>
      </c>
      <c r="E2504" s="55" t="s">
        <v>203</v>
      </c>
      <c r="F2504" s="55"/>
      <c r="G2504" s="24">
        <v>13216000</v>
      </c>
      <c r="H2504" s="24">
        <v>2112000</v>
      </c>
      <c r="I2504" s="24">
        <f t="shared" si="121"/>
        <v>15328000</v>
      </c>
    </row>
    <row r="2505" spans="4:9" ht="12.75">
      <c r="D2505" s="5" t="s">
        <v>925</v>
      </c>
      <c r="E2505" s="55" t="s">
        <v>884</v>
      </c>
      <c r="F2505" s="55"/>
      <c r="G2505" s="24">
        <v>21650000</v>
      </c>
      <c r="H2505" s="24">
        <v>4496000</v>
      </c>
      <c r="I2505" s="24">
        <f t="shared" si="121"/>
        <v>26146000</v>
      </c>
    </row>
    <row r="2506" spans="4:9" ht="12.75">
      <c r="D2506" s="5" t="s">
        <v>917</v>
      </c>
      <c r="E2506" s="55" t="s">
        <v>204</v>
      </c>
      <c r="F2506" s="55"/>
      <c r="G2506" s="24">
        <v>0</v>
      </c>
      <c r="H2506" s="24">
        <v>85000</v>
      </c>
      <c r="I2506" s="24">
        <f t="shared" si="121"/>
        <v>85000</v>
      </c>
    </row>
    <row r="2507" spans="4:9" ht="12.75">
      <c r="D2507" s="5" t="s">
        <v>928</v>
      </c>
      <c r="E2507" s="55" t="s">
        <v>890</v>
      </c>
      <c r="F2507" s="55"/>
      <c r="G2507" s="24">
        <v>0</v>
      </c>
      <c r="H2507" s="24">
        <v>5000</v>
      </c>
      <c r="I2507" s="24">
        <f t="shared" si="121"/>
        <v>5000</v>
      </c>
    </row>
    <row r="2508" spans="4:9" ht="12.75">
      <c r="D2508" s="5" t="s">
        <v>930</v>
      </c>
      <c r="E2508" s="55" t="s">
        <v>209</v>
      </c>
      <c r="F2508" s="55"/>
      <c r="G2508" s="24">
        <v>302036000</v>
      </c>
      <c r="H2508" s="24">
        <v>0</v>
      </c>
      <c r="I2508" s="24">
        <f t="shared" si="121"/>
        <v>302036000</v>
      </c>
    </row>
    <row r="2509" spans="4:9" ht="12.75">
      <c r="D2509" s="5" t="s">
        <v>753</v>
      </c>
      <c r="E2509" s="55" t="s">
        <v>211</v>
      </c>
      <c r="F2509" s="55"/>
      <c r="G2509" s="24">
        <v>13500000</v>
      </c>
      <c r="H2509" s="24">
        <v>0</v>
      </c>
      <c r="I2509" s="24">
        <f t="shared" si="121"/>
        <v>13500000</v>
      </c>
    </row>
    <row r="2510" spans="5:6" ht="28.5" customHeight="1">
      <c r="E2510" s="55" t="s">
        <v>378</v>
      </c>
      <c r="F2510" s="55"/>
    </row>
    <row r="2511" spans="4:9" ht="12.75">
      <c r="D2511" s="5" t="s">
        <v>754</v>
      </c>
      <c r="E2511" s="55" t="s">
        <v>212</v>
      </c>
      <c r="F2511" s="55"/>
      <c r="G2511" s="24">
        <v>40000</v>
      </c>
      <c r="H2511" s="24">
        <v>0</v>
      </c>
      <c r="I2511" s="24">
        <f>G2511+H2511</f>
        <v>40000</v>
      </c>
    </row>
    <row r="2512" spans="4:9" ht="12.75">
      <c r="D2512" s="5" t="s">
        <v>755</v>
      </c>
      <c r="E2512" s="55" t="s">
        <v>213</v>
      </c>
      <c r="F2512" s="55"/>
      <c r="G2512" s="24">
        <v>10000</v>
      </c>
      <c r="H2512" s="24">
        <v>20000</v>
      </c>
      <c r="I2512" s="24">
        <f>G2512+H2512</f>
        <v>30000</v>
      </c>
    </row>
    <row r="2513" spans="4:9" ht="12.75">
      <c r="D2513" s="5" t="s">
        <v>926</v>
      </c>
      <c r="E2513" s="55" t="s">
        <v>885</v>
      </c>
      <c r="F2513" s="55"/>
      <c r="G2513" s="24">
        <v>2875000</v>
      </c>
      <c r="H2513" s="24">
        <v>0</v>
      </c>
      <c r="I2513" s="24">
        <f>G2513+H2513</f>
        <v>2875000</v>
      </c>
    </row>
    <row r="2514" spans="5:6" ht="53.25" customHeight="1">
      <c r="E2514" s="55" t="s">
        <v>379</v>
      </c>
      <c r="F2514" s="55"/>
    </row>
    <row r="2515" spans="4:9" ht="12.75">
      <c r="D2515" s="5" t="s">
        <v>927</v>
      </c>
      <c r="E2515" s="55" t="s">
        <v>886</v>
      </c>
      <c r="F2515" s="55"/>
      <c r="G2515" s="24">
        <v>8491000</v>
      </c>
      <c r="H2515" s="24">
        <v>0</v>
      </c>
      <c r="I2515" s="24">
        <f>G2515+H2515</f>
        <v>8491000</v>
      </c>
    </row>
    <row r="2516" spans="4:9" ht="13.5" thickBot="1">
      <c r="D2516" s="5" t="s">
        <v>214</v>
      </c>
      <c r="E2516" s="55" t="s">
        <v>215</v>
      </c>
      <c r="F2516" s="55"/>
      <c r="G2516" s="24">
        <v>100000</v>
      </c>
      <c r="H2516" s="24">
        <v>0</v>
      </c>
      <c r="I2516" s="24">
        <f>G2516+H2516</f>
        <v>100000</v>
      </c>
    </row>
    <row r="2517" spans="5:9" ht="12.75">
      <c r="E2517" s="58" t="s">
        <v>97</v>
      </c>
      <c r="F2517" s="58"/>
      <c r="G2517" s="25"/>
      <c r="H2517" s="25"/>
      <c r="I2517" s="25"/>
    </row>
    <row r="2518" spans="4:9" ht="12.75">
      <c r="D2518" s="5" t="s">
        <v>772</v>
      </c>
      <c r="E2518" s="55" t="s">
        <v>773</v>
      </c>
      <c r="F2518" s="55"/>
      <c r="G2518" s="24">
        <f>SUM(G2494:G2517)</f>
        <v>1258572000</v>
      </c>
      <c r="I2518" s="24">
        <f aca="true" t="shared" si="122" ref="I2518:I2524">G2518+H2518</f>
        <v>1258572000</v>
      </c>
    </row>
    <row r="2519" spans="4:9" ht="12.75">
      <c r="D2519" s="5" t="s">
        <v>784</v>
      </c>
      <c r="E2519" s="55" t="s">
        <v>785</v>
      </c>
      <c r="F2519" s="55"/>
      <c r="H2519" s="24">
        <v>40897000</v>
      </c>
      <c r="I2519" s="24">
        <f t="shared" si="122"/>
        <v>40897000</v>
      </c>
    </row>
    <row r="2520" spans="4:9" ht="12.75">
      <c r="D2520" s="5" t="s">
        <v>778</v>
      </c>
      <c r="E2520" s="55" t="s">
        <v>779</v>
      </c>
      <c r="F2520" s="55"/>
      <c r="H2520" s="24">
        <v>217000</v>
      </c>
      <c r="I2520" s="24">
        <f t="shared" si="122"/>
        <v>217000</v>
      </c>
    </row>
    <row r="2521" spans="4:9" ht="12.75">
      <c r="D2521" s="5" t="s">
        <v>780</v>
      </c>
      <c r="E2521" s="55" t="s">
        <v>781</v>
      </c>
      <c r="F2521" s="55"/>
      <c r="H2521" s="24">
        <v>623000</v>
      </c>
      <c r="I2521" s="24">
        <f t="shared" si="122"/>
        <v>623000</v>
      </c>
    </row>
    <row r="2522" spans="4:9" ht="12.75">
      <c r="D2522" s="5" t="s">
        <v>853</v>
      </c>
      <c r="E2522" s="55" t="s">
        <v>854</v>
      </c>
      <c r="F2522" s="55"/>
      <c r="H2522" s="24">
        <v>2647000</v>
      </c>
      <c r="I2522" s="24">
        <f t="shared" si="122"/>
        <v>2647000</v>
      </c>
    </row>
    <row r="2523" spans="4:9" ht="13.5" thickBot="1">
      <c r="D2523" s="5" t="s">
        <v>796</v>
      </c>
      <c r="E2523" s="55" t="s">
        <v>797</v>
      </c>
      <c r="F2523" s="55"/>
      <c r="H2523" s="24">
        <v>3591000</v>
      </c>
      <c r="I2523" s="24">
        <f t="shared" si="122"/>
        <v>3591000</v>
      </c>
    </row>
    <row r="2524" spans="5:9" ht="13.5" thickBot="1">
      <c r="E2524" s="56" t="s">
        <v>98</v>
      </c>
      <c r="F2524" s="56"/>
      <c r="G2524" s="26">
        <f>SUM(G2518:G2523)</f>
        <v>1258572000</v>
      </c>
      <c r="H2524" s="26">
        <f>SUM(H2518:H2523)</f>
        <v>47975000</v>
      </c>
      <c r="I2524" s="26">
        <f t="shared" si="122"/>
        <v>1306547000</v>
      </c>
    </row>
    <row r="2525" spans="5:9" ht="12.75">
      <c r="E2525" s="58" t="s">
        <v>133</v>
      </c>
      <c r="F2525" s="58"/>
      <c r="G2525" s="25"/>
      <c r="H2525" s="25"/>
      <c r="I2525" s="25"/>
    </row>
    <row r="2526" spans="4:9" ht="12.75">
      <c r="D2526" s="5" t="s">
        <v>772</v>
      </c>
      <c r="E2526" s="55" t="s">
        <v>773</v>
      </c>
      <c r="F2526" s="55"/>
      <c r="G2526" s="24">
        <f>+G2518</f>
        <v>1258572000</v>
      </c>
      <c r="H2526" s="24">
        <v>0</v>
      </c>
      <c r="I2526" s="24">
        <f aca="true" t="shared" si="123" ref="I2526:I2532">G2526+H2526</f>
        <v>1258572000</v>
      </c>
    </row>
    <row r="2527" spans="4:9" ht="12.75">
      <c r="D2527" s="5" t="s">
        <v>784</v>
      </c>
      <c r="E2527" s="55" t="s">
        <v>785</v>
      </c>
      <c r="F2527" s="55"/>
      <c r="G2527" s="24">
        <v>0</v>
      </c>
      <c r="H2527" s="24">
        <f>+H2519</f>
        <v>40897000</v>
      </c>
      <c r="I2527" s="24">
        <f t="shared" si="123"/>
        <v>40897000</v>
      </c>
    </row>
    <row r="2528" spans="4:9" ht="12.75">
      <c r="D2528" s="5" t="s">
        <v>778</v>
      </c>
      <c r="E2528" s="55" t="s">
        <v>779</v>
      </c>
      <c r="F2528" s="55"/>
      <c r="G2528" s="24">
        <v>0</v>
      </c>
      <c r="H2528" s="24">
        <f>+H2520</f>
        <v>217000</v>
      </c>
      <c r="I2528" s="24">
        <f t="shared" si="123"/>
        <v>217000</v>
      </c>
    </row>
    <row r="2529" spans="4:9" ht="12.75">
      <c r="D2529" s="5" t="s">
        <v>780</v>
      </c>
      <c r="E2529" s="55" t="s">
        <v>781</v>
      </c>
      <c r="F2529" s="55"/>
      <c r="G2529" s="24">
        <v>0</v>
      </c>
      <c r="H2529" s="24">
        <f>+H2521</f>
        <v>623000</v>
      </c>
      <c r="I2529" s="24">
        <f t="shared" si="123"/>
        <v>623000</v>
      </c>
    </row>
    <row r="2530" spans="4:9" ht="12.75">
      <c r="D2530" s="5" t="s">
        <v>853</v>
      </c>
      <c r="E2530" s="55" t="s">
        <v>854</v>
      </c>
      <c r="F2530" s="55"/>
      <c r="G2530" s="24">
        <v>0</v>
      </c>
      <c r="H2530" s="24">
        <f>+H2522</f>
        <v>2647000</v>
      </c>
      <c r="I2530" s="24">
        <f t="shared" si="123"/>
        <v>2647000</v>
      </c>
    </row>
    <row r="2531" spans="4:9" ht="13.5" thickBot="1">
      <c r="D2531" s="5" t="s">
        <v>796</v>
      </c>
      <c r="E2531" s="55" t="s">
        <v>797</v>
      </c>
      <c r="F2531" s="55"/>
      <c r="G2531" s="24">
        <v>0</v>
      </c>
      <c r="H2531" s="24">
        <f>+H2523</f>
        <v>3591000</v>
      </c>
      <c r="I2531" s="24">
        <f t="shared" si="123"/>
        <v>3591000</v>
      </c>
    </row>
    <row r="2532" spans="5:9" ht="13.5" thickBot="1">
      <c r="E2532" s="56" t="s">
        <v>134</v>
      </c>
      <c r="F2532" s="56"/>
      <c r="G2532" s="26">
        <f>SUM(G2526:G2531)</f>
        <v>1258572000</v>
      </c>
      <c r="H2532" s="26">
        <f>SUM(H2526:H2531)</f>
        <v>47975000</v>
      </c>
      <c r="I2532" s="26">
        <f t="shared" si="123"/>
        <v>1306547000</v>
      </c>
    </row>
    <row r="2533" spans="5:9" ht="12.75">
      <c r="E2533" s="58" t="s">
        <v>395</v>
      </c>
      <c r="F2533" s="58"/>
      <c r="G2533" s="25"/>
      <c r="H2533" s="25"/>
      <c r="I2533" s="25"/>
    </row>
    <row r="2534" spans="4:9" ht="12.75">
      <c r="D2534" s="5" t="s">
        <v>772</v>
      </c>
      <c r="E2534" s="55" t="s">
        <v>773</v>
      </c>
      <c r="F2534" s="55"/>
      <c r="G2534" s="24">
        <f>+G2526+G2488</f>
        <v>2164796000</v>
      </c>
      <c r="H2534" s="24">
        <v>0</v>
      </c>
      <c r="I2534" s="24">
        <f aca="true" t="shared" si="124" ref="I2534:I2540">G2534+H2534</f>
        <v>2164796000</v>
      </c>
    </row>
    <row r="2535" spans="4:9" ht="12.75">
      <c r="D2535" s="5" t="s">
        <v>784</v>
      </c>
      <c r="E2535" s="55" t="s">
        <v>785</v>
      </c>
      <c r="F2535" s="55"/>
      <c r="G2535" s="24">
        <v>0</v>
      </c>
      <c r="H2535" s="24">
        <f>+H2527+H2489</f>
        <v>41647000</v>
      </c>
      <c r="I2535" s="24">
        <f t="shared" si="124"/>
        <v>41647000</v>
      </c>
    </row>
    <row r="2536" spans="4:9" ht="12.75">
      <c r="D2536" s="5" t="s">
        <v>778</v>
      </c>
      <c r="E2536" s="55" t="s">
        <v>779</v>
      </c>
      <c r="F2536" s="55"/>
      <c r="G2536" s="24">
        <v>0</v>
      </c>
      <c r="H2536" s="24">
        <f>+H2528</f>
        <v>217000</v>
      </c>
      <c r="I2536" s="24">
        <f t="shared" si="124"/>
        <v>217000</v>
      </c>
    </row>
    <row r="2537" spans="4:9" ht="12.75">
      <c r="D2537" s="5" t="s">
        <v>780</v>
      </c>
      <c r="E2537" s="55" t="s">
        <v>781</v>
      </c>
      <c r="F2537" s="55"/>
      <c r="G2537" s="24">
        <v>0</v>
      </c>
      <c r="H2537" s="24">
        <f>+H2529</f>
        <v>623000</v>
      </c>
      <c r="I2537" s="24">
        <f t="shared" si="124"/>
        <v>623000</v>
      </c>
    </row>
    <row r="2538" spans="4:9" ht="12.75">
      <c r="D2538" s="5" t="s">
        <v>853</v>
      </c>
      <c r="E2538" s="55" t="s">
        <v>854</v>
      </c>
      <c r="F2538" s="55"/>
      <c r="G2538" s="24">
        <v>0</v>
      </c>
      <c r="H2538" s="24">
        <f>+H2530</f>
        <v>2647000</v>
      </c>
      <c r="I2538" s="24">
        <f t="shared" si="124"/>
        <v>2647000</v>
      </c>
    </row>
    <row r="2539" spans="4:9" ht="13.5" thickBot="1">
      <c r="D2539" s="5" t="s">
        <v>796</v>
      </c>
      <c r="E2539" s="55" t="s">
        <v>797</v>
      </c>
      <c r="F2539" s="55"/>
      <c r="G2539" s="24">
        <v>0</v>
      </c>
      <c r="H2539" s="24">
        <f>+H2531</f>
        <v>3591000</v>
      </c>
      <c r="I2539" s="24">
        <f t="shared" si="124"/>
        <v>3591000</v>
      </c>
    </row>
    <row r="2540" spans="5:9" ht="13.5" thickBot="1">
      <c r="E2540" s="56" t="s">
        <v>396</v>
      </c>
      <c r="F2540" s="56"/>
      <c r="G2540" s="26">
        <f>SUM(G2534:G2539)</f>
        <v>2164796000</v>
      </c>
      <c r="H2540" s="26">
        <f>SUM(H2534:H2539)</f>
        <v>48725000</v>
      </c>
      <c r="I2540" s="26">
        <f t="shared" si="124"/>
        <v>2213521000</v>
      </c>
    </row>
    <row r="2541" ht="9" customHeight="1"/>
    <row r="2542" spans="1:6" ht="12.75">
      <c r="A2542" s="8">
        <v>27</v>
      </c>
      <c r="B2542" s="9" t="s">
        <v>766</v>
      </c>
      <c r="C2542" s="8"/>
      <c r="D2542" s="9"/>
      <c r="E2542" s="57" t="s">
        <v>262</v>
      </c>
      <c r="F2542" s="57"/>
    </row>
    <row r="2543" spans="1:6" ht="12.75">
      <c r="A2543" s="8"/>
      <c r="B2543" s="9"/>
      <c r="C2543" s="8" t="s">
        <v>810</v>
      </c>
      <c r="D2543" s="9"/>
      <c r="E2543" s="57" t="s">
        <v>811</v>
      </c>
      <c r="F2543" s="57"/>
    </row>
    <row r="2544" spans="4:9" ht="12.75">
      <c r="D2544" s="5" t="s">
        <v>911</v>
      </c>
      <c r="E2544" s="55" t="s">
        <v>199</v>
      </c>
      <c r="F2544" s="55"/>
      <c r="G2544" s="24">
        <v>131643000</v>
      </c>
      <c r="H2544" s="24">
        <v>0</v>
      </c>
      <c r="I2544" s="24">
        <f aca="true" t="shared" si="125" ref="I2544:I2560">G2544+H2544</f>
        <v>131643000</v>
      </c>
    </row>
    <row r="2545" spans="4:9" ht="12.75">
      <c r="D2545" s="5" t="s">
        <v>912</v>
      </c>
      <c r="E2545" s="55" t="s">
        <v>877</v>
      </c>
      <c r="F2545" s="55"/>
      <c r="G2545" s="24">
        <v>22556000</v>
      </c>
      <c r="H2545" s="24">
        <v>0</v>
      </c>
      <c r="I2545" s="24">
        <f t="shared" si="125"/>
        <v>22556000</v>
      </c>
    </row>
    <row r="2546" spans="4:9" ht="12.75">
      <c r="D2546" s="5" t="s">
        <v>918</v>
      </c>
      <c r="E2546" s="55" t="s">
        <v>878</v>
      </c>
      <c r="F2546" s="55"/>
      <c r="G2546" s="24">
        <v>725000</v>
      </c>
      <c r="H2546" s="24">
        <v>0</v>
      </c>
      <c r="I2546" s="24">
        <f t="shared" si="125"/>
        <v>725000</v>
      </c>
    </row>
    <row r="2547" spans="4:9" ht="12.75">
      <c r="D2547" s="5" t="s">
        <v>921</v>
      </c>
      <c r="E2547" s="55" t="s">
        <v>880</v>
      </c>
      <c r="F2547" s="55"/>
      <c r="G2547" s="24">
        <v>1000000</v>
      </c>
      <c r="H2547" s="24">
        <v>200000</v>
      </c>
      <c r="I2547" s="24">
        <f t="shared" si="125"/>
        <v>1200000</v>
      </c>
    </row>
    <row r="2548" spans="4:9" ht="12.75">
      <c r="D2548" s="5" t="s">
        <v>919</v>
      </c>
      <c r="E2548" s="55" t="s">
        <v>200</v>
      </c>
      <c r="F2548" s="55"/>
      <c r="G2548" s="24">
        <v>2125000</v>
      </c>
      <c r="H2548" s="24">
        <v>0</v>
      </c>
      <c r="I2548" s="24">
        <f t="shared" si="125"/>
        <v>2125000</v>
      </c>
    </row>
    <row r="2549" spans="4:9" ht="12.75">
      <c r="D2549" s="5" t="s">
        <v>913</v>
      </c>
      <c r="E2549" s="55" t="s">
        <v>881</v>
      </c>
      <c r="F2549" s="55"/>
      <c r="G2549" s="24">
        <v>1863000</v>
      </c>
      <c r="H2549" s="24">
        <v>6884000</v>
      </c>
      <c r="I2549" s="24">
        <f t="shared" si="125"/>
        <v>8747000</v>
      </c>
    </row>
    <row r="2550" spans="4:9" ht="12.75">
      <c r="D2550" s="5" t="s">
        <v>915</v>
      </c>
      <c r="E2550" s="55" t="s">
        <v>879</v>
      </c>
      <c r="F2550" s="55"/>
      <c r="G2550" s="24">
        <v>2858000</v>
      </c>
      <c r="H2550" s="24">
        <v>9684120</v>
      </c>
      <c r="I2550" s="24">
        <f t="shared" si="125"/>
        <v>12542120</v>
      </c>
    </row>
    <row r="2551" spans="4:9" ht="12.75">
      <c r="D2551" s="5" t="s">
        <v>916</v>
      </c>
      <c r="E2551" s="55" t="s">
        <v>882</v>
      </c>
      <c r="F2551" s="55"/>
      <c r="G2551" s="24">
        <v>66962000</v>
      </c>
      <c r="H2551" s="24">
        <v>151058281.17</v>
      </c>
      <c r="I2551" s="24">
        <f t="shared" si="125"/>
        <v>218020281.17</v>
      </c>
    </row>
    <row r="2552" spans="4:9" ht="12.75">
      <c r="D2552" s="5" t="s">
        <v>923</v>
      </c>
      <c r="E2552" s="55" t="s">
        <v>883</v>
      </c>
      <c r="F2552" s="55"/>
      <c r="G2552" s="24">
        <v>208620000</v>
      </c>
      <c r="H2552" s="24">
        <v>173140250</v>
      </c>
      <c r="I2552" s="24">
        <f t="shared" si="125"/>
        <v>381760250</v>
      </c>
    </row>
    <row r="2553" spans="4:9" ht="12.75">
      <c r="D2553" s="5" t="s">
        <v>924</v>
      </c>
      <c r="E2553" s="55" t="s">
        <v>203</v>
      </c>
      <c r="F2553" s="55"/>
      <c r="G2553" s="24">
        <v>2000000</v>
      </c>
      <c r="H2553" s="24">
        <v>4015000</v>
      </c>
      <c r="I2553" s="24">
        <f t="shared" si="125"/>
        <v>6015000</v>
      </c>
    </row>
    <row r="2554" spans="4:9" ht="12.75">
      <c r="D2554" s="5" t="s">
        <v>925</v>
      </c>
      <c r="E2554" s="55" t="s">
        <v>884</v>
      </c>
      <c r="F2554" s="55"/>
      <c r="G2554" s="24">
        <v>1230000</v>
      </c>
      <c r="H2554" s="24">
        <v>17776999.49</v>
      </c>
      <c r="I2554" s="24">
        <f t="shared" si="125"/>
        <v>19006999.49</v>
      </c>
    </row>
    <row r="2555" spans="4:9" ht="12.75">
      <c r="D2555" s="5" t="s">
        <v>930</v>
      </c>
      <c r="E2555" s="55" t="s">
        <v>209</v>
      </c>
      <c r="F2555" s="55"/>
      <c r="G2555" s="24">
        <v>49510000</v>
      </c>
      <c r="I2555" s="24">
        <f t="shared" si="125"/>
        <v>49510000</v>
      </c>
    </row>
    <row r="2556" spans="4:9" ht="12.75">
      <c r="D2556" s="5" t="s">
        <v>931</v>
      </c>
      <c r="E2556" s="55" t="s">
        <v>210</v>
      </c>
      <c r="F2556" s="55"/>
      <c r="G2556" s="24">
        <f>379310000-49510000</f>
        <v>329800000</v>
      </c>
      <c r="H2556" s="24">
        <v>1755510000</v>
      </c>
      <c r="I2556" s="24">
        <f t="shared" si="125"/>
        <v>2085310000</v>
      </c>
    </row>
    <row r="2557" spans="4:9" ht="12.75">
      <c r="D2557" s="5" t="s">
        <v>753</v>
      </c>
      <c r="E2557" s="55" t="s">
        <v>211</v>
      </c>
      <c r="F2557" s="55"/>
      <c r="G2557" s="24">
        <v>42500000</v>
      </c>
      <c r="H2557" s="24">
        <v>38500000</v>
      </c>
      <c r="I2557" s="24">
        <f t="shared" si="125"/>
        <v>81000000</v>
      </c>
    </row>
    <row r="2558" spans="4:9" ht="12.75">
      <c r="D2558" s="5" t="s">
        <v>754</v>
      </c>
      <c r="E2558" s="55" t="s">
        <v>212</v>
      </c>
      <c r="F2558" s="55"/>
      <c r="G2558" s="24">
        <v>399750000</v>
      </c>
      <c r="I2558" s="24">
        <f t="shared" si="125"/>
        <v>399750000</v>
      </c>
    </row>
    <row r="2559" spans="4:9" ht="12.75">
      <c r="D2559" s="5" t="s">
        <v>926</v>
      </c>
      <c r="E2559" s="55" t="s">
        <v>885</v>
      </c>
      <c r="F2559" s="55"/>
      <c r="H2559" s="24">
        <v>1182392159.19</v>
      </c>
      <c r="I2559" s="24">
        <f t="shared" si="125"/>
        <v>1182392159.19</v>
      </c>
    </row>
    <row r="2560" spans="4:9" ht="13.5" thickBot="1">
      <c r="D2560" s="5" t="s">
        <v>927</v>
      </c>
      <c r="E2560" s="55" t="s">
        <v>886</v>
      </c>
      <c r="F2560" s="55"/>
      <c r="G2560" s="24">
        <v>30214000</v>
      </c>
      <c r="H2560" s="24">
        <v>939780428.18</v>
      </c>
      <c r="I2560" s="24">
        <f t="shared" si="125"/>
        <v>969994428.18</v>
      </c>
    </row>
    <row r="2561" spans="5:9" ht="12.75">
      <c r="E2561" s="58" t="s">
        <v>38</v>
      </c>
      <c r="F2561" s="58"/>
      <c r="G2561" s="25"/>
      <c r="H2561" s="25"/>
      <c r="I2561" s="25"/>
    </row>
    <row r="2562" spans="4:9" ht="12.75">
      <c r="D2562" s="5" t="s">
        <v>772</v>
      </c>
      <c r="E2562" s="55" t="s">
        <v>773</v>
      </c>
      <c r="F2562" s="55"/>
      <c r="G2562" s="24">
        <f>SUM(G2544:G2561)</f>
        <v>1293356000</v>
      </c>
      <c r="I2562" s="24">
        <f aca="true" t="shared" si="126" ref="I2562:I2570">G2562+H2562</f>
        <v>1293356000</v>
      </c>
    </row>
    <row r="2563" spans="4:9" ht="12.75">
      <c r="D2563" s="5" t="s">
        <v>784</v>
      </c>
      <c r="E2563" s="55" t="s">
        <v>785</v>
      </c>
      <c r="F2563" s="55"/>
      <c r="H2563" s="24">
        <v>50990388.05</v>
      </c>
      <c r="I2563" s="24">
        <f t="shared" si="126"/>
        <v>50990388.05</v>
      </c>
    </row>
    <row r="2564" spans="4:9" ht="12.75">
      <c r="D2564" s="5" t="s">
        <v>778</v>
      </c>
      <c r="E2564" s="55" t="s">
        <v>779</v>
      </c>
      <c r="F2564" s="55"/>
      <c r="H2564" s="24">
        <v>20000000</v>
      </c>
      <c r="I2564" s="24">
        <f t="shared" si="126"/>
        <v>20000000</v>
      </c>
    </row>
    <row r="2565" spans="4:9" ht="12.75">
      <c r="D2565" s="5" t="s">
        <v>780</v>
      </c>
      <c r="E2565" s="55" t="s">
        <v>781</v>
      </c>
      <c r="F2565" s="55"/>
      <c r="H2565" s="24">
        <v>28951120</v>
      </c>
      <c r="I2565" s="24">
        <f t="shared" si="126"/>
        <v>28951120</v>
      </c>
    </row>
    <row r="2566" spans="4:9" ht="12.75">
      <c r="D2566" s="5" t="s">
        <v>790</v>
      </c>
      <c r="E2566" s="55" t="s">
        <v>791</v>
      </c>
      <c r="F2566" s="55"/>
      <c r="H2566" s="24">
        <v>2210768587.37</v>
      </c>
      <c r="I2566" s="24">
        <f t="shared" si="126"/>
        <v>2210768587.37</v>
      </c>
    </row>
    <row r="2567" spans="4:9" ht="12.75">
      <c r="D2567" s="5" t="s">
        <v>825</v>
      </c>
      <c r="E2567" s="55" t="s">
        <v>905</v>
      </c>
      <c r="F2567" s="55"/>
      <c r="H2567" s="24">
        <v>48500000</v>
      </c>
      <c r="I2567" s="24">
        <f t="shared" si="126"/>
        <v>48500000</v>
      </c>
    </row>
    <row r="2568" spans="4:9" ht="12.75">
      <c r="D2568" s="5" t="s">
        <v>830</v>
      </c>
      <c r="E2568" s="55" t="s">
        <v>906</v>
      </c>
      <c r="F2568" s="55"/>
      <c r="H2568" s="24">
        <f>SUM(H2547:H2560)-H2563-H2564-H2565-H2566-H2567-H2569</f>
        <v>1918380249.9999998</v>
      </c>
      <c r="I2568" s="24">
        <f t="shared" si="126"/>
        <v>1918380249.9999998</v>
      </c>
    </row>
    <row r="2569" spans="4:9" ht="13.5" thickBot="1">
      <c r="D2569" s="5" t="s">
        <v>979</v>
      </c>
      <c r="E2569" s="55" t="s">
        <v>374</v>
      </c>
      <c r="F2569" s="55"/>
      <c r="H2569" s="24">
        <v>1350892.61</v>
      </c>
      <c r="I2569" s="24">
        <f t="shared" si="126"/>
        <v>1350892.61</v>
      </c>
    </row>
    <row r="2570" spans="5:9" ht="13.5" thickBot="1">
      <c r="E2570" s="56" t="s">
        <v>39</v>
      </c>
      <c r="F2570" s="56"/>
      <c r="G2570" s="26">
        <f>SUM(G2562:G2569)</f>
        <v>1293356000</v>
      </c>
      <c r="H2570" s="26">
        <f>SUM(H2562:H2569)</f>
        <v>4278941238.03</v>
      </c>
      <c r="I2570" s="26">
        <f t="shared" si="126"/>
        <v>5572297238.030001</v>
      </c>
    </row>
    <row r="2571" spans="5:9" ht="12.75">
      <c r="E2571" s="58" t="s">
        <v>344</v>
      </c>
      <c r="F2571" s="58"/>
      <c r="G2571" s="25"/>
      <c r="H2571" s="25"/>
      <c r="I2571" s="25"/>
    </row>
    <row r="2572" spans="4:9" ht="12.75">
      <c r="D2572" s="5" t="s">
        <v>772</v>
      </c>
      <c r="E2572" s="55" t="s">
        <v>773</v>
      </c>
      <c r="F2572" s="55"/>
      <c r="G2572" s="24">
        <f>+G2562</f>
        <v>1293356000</v>
      </c>
      <c r="H2572" s="24">
        <v>0</v>
      </c>
      <c r="I2572" s="24">
        <f aca="true" t="shared" si="127" ref="I2572:I2580">G2572+H2572</f>
        <v>1293356000</v>
      </c>
    </row>
    <row r="2573" spans="4:9" ht="12.75">
      <c r="D2573" s="5" t="s">
        <v>784</v>
      </c>
      <c r="E2573" s="55" t="s">
        <v>785</v>
      </c>
      <c r="F2573" s="55"/>
      <c r="G2573" s="24">
        <v>0</v>
      </c>
      <c r="H2573" s="24">
        <f>+H2563</f>
        <v>50990388.05</v>
      </c>
      <c r="I2573" s="24">
        <f t="shared" si="127"/>
        <v>50990388.05</v>
      </c>
    </row>
    <row r="2574" spans="4:9" ht="12.75">
      <c r="D2574" s="5" t="s">
        <v>778</v>
      </c>
      <c r="E2574" s="55" t="s">
        <v>779</v>
      </c>
      <c r="F2574" s="55"/>
      <c r="G2574" s="24">
        <v>0</v>
      </c>
      <c r="H2574" s="24">
        <f aca="true" t="shared" si="128" ref="H2574:H2579">+H2564</f>
        <v>20000000</v>
      </c>
      <c r="I2574" s="24">
        <f t="shared" si="127"/>
        <v>20000000</v>
      </c>
    </row>
    <row r="2575" spans="4:9" ht="12.75">
      <c r="D2575" s="5" t="s">
        <v>780</v>
      </c>
      <c r="E2575" s="55" t="s">
        <v>781</v>
      </c>
      <c r="F2575" s="55"/>
      <c r="G2575" s="24">
        <v>0</v>
      </c>
      <c r="H2575" s="24">
        <f t="shared" si="128"/>
        <v>28951120</v>
      </c>
      <c r="I2575" s="24">
        <f t="shared" si="127"/>
        <v>28951120</v>
      </c>
    </row>
    <row r="2576" spans="4:9" ht="12.75">
      <c r="D2576" s="5" t="s">
        <v>790</v>
      </c>
      <c r="E2576" s="55" t="s">
        <v>791</v>
      </c>
      <c r="F2576" s="55"/>
      <c r="G2576" s="24">
        <v>0</v>
      </c>
      <c r="H2576" s="24">
        <f t="shared" si="128"/>
        <v>2210768587.37</v>
      </c>
      <c r="I2576" s="24">
        <f t="shared" si="127"/>
        <v>2210768587.37</v>
      </c>
    </row>
    <row r="2577" spans="4:9" ht="12.75">
      <c r="D2577" s="5" t="s">
        <v>825</v>
      </c>
      <c r="E2577" s="55" t="s">
        <v>905</v>
      </c>
      <c r="F2577" s="55"/>
      <c r="G2577" s="24">
        <v>0</v>
      </c>
      <c r="H2577" s="24">
        <f t="shared" si="128"/>
        <v>48500000</v>
      </c>
      <c r="I2577" s="24">
        <f t="shared" si="127"/>
        <v>48500000</v>
      </c>
    </row>
    <row r="2578" spans="4:9" ht="12.75">
      <c r="D2578" s="5" t="s">
        <v>830</v>
      </c>
      <c r="E2578" s="55" t="s">
        <v>906</v>
      </c>
      <c r="F2578" s="55"/>
      <c r="G2578" s="24">
        <v>0</v>
      </c>
      <c r="H2578" s="24">
        <f t="shared" si="128"/>
        <v>1918380249.9999998</v>
      </c>
      <c r="I2578" s="24">
        <f t="shared" si="127"/>
        <v>1918380249.9999998</v>
      </c>
    </row>
    <row r="2579" spans="4:9" ht="13.5" thickBot="1">
      <c r="D2579" s="5" t="s">
        <v>979</v>
      </c>
      <c r="E2579" s="55" t="s">
        <v>374</v>
      </c>
      <c r="F2579" s="55"/>
      <c r="G2579" s="24">
        <v>0</v>
      </c>
      <c r="H2579" s="24">
        <f t="shared" si="128"/>
        <v>1350892.61</v>
      </c>
      <c r="I2579" s="24">
        <f t="shared" si="127"/>
        <v>1350892.61</v>
      </c>
    </row>
    <row r="2580" spans="5:9" ht="13.5" thickBot="1">
      <c r="E2580" s="56" t="s">
        <v>345</v>
      </c>
      <c r="F2580" s="56"/>
      <c r="G2580" s="26">
        <f>SUM(G2572:G2579)</f>
        <v>1293356000</v>
      </c>
      <c r="H2580" s="26">
        <f>SUM(H2572:H2579)</f>
        <v>4278941238.03</v>
      </c>
      <c r="I2580" s="26">
        <f t="shared" si="127"/>
        <v>5572297238.030001</v>
      </c>
    </row>
    <row r="2581" ht="6.75" customHeight="1"/>
    <row r="2582" spans="1:6" ht="12.75">
      <c r="A2582" s="8" t="s">
        <v>766</v>
      </c>
      <c r="B2582" s="9" t="s">
        <v>568</v>
      </c>
      <c r="C2582" s="8"/>
      <c r="D2582" s="9"/>
      <c r="E2582" s="57" t="s">
        <v>27</v>
      </c>
      <c r="F2582" s="57"/>
    </row>
    <row r="2583" spans="1:6" ht="12.75">
      <c r="A2583" s="8"/>
      <c r="B2583" s="9"/>
      <c r="C2583" s="8" t="s">
        <v>770</v>
      </c>
      <c r="D2583" s="9"/>
      <c r="E2583" s="57" t="s">
        <v>771</v>
      </c>
      <c r="F2583" s="57"/>
    </row>
    <row r="2584" spans="4:9" ht="13.5" thickBot="1">
      <c r="D2584" s="5" t="s">
        <v>753</v>
      </c>
      <c r="E2584" s="55" t="s">
        <v>211</v>
      </c>
      <c r="F2584" s="55"/>
      <c r="G2584" s="24">
        <v>0</v>
      </c>
      <c r="H2584" s="24">
        <v>251200000</v>
      </c>
      <c r="I2584" s="24">
        <f>G2584+H2584</f>
        <v>251200000</v>
      </c>
    </row>
    <row r="2585" spans="5:9" ht="12.75">
      <c r="E2585" s="58" t="s">
        <v>346</v>
      </c>
      <c r="F2585" s="58"/>
      <c r="G2585" s="25"/>
      <c r="H2585" s="25"/>
      <c r="I2585" s="25"/>
    </row>
    <row r="2586" spans="4:9" ht="12.75">
      <c r="D2586" s="5" t="s">
        <v>784</v>
      </c>
      <c r="E2586" s="55" t="s">
        <v>785</v>
      </c>
      <c r="F2586" s="55"/>
      <c r="H2586" s="24">
        <v>250000000</v>
      </c>
      <c r="I2586" s="24">
        <f>G2586+H2586</f>
        <v>250000000</v>
      </c>
    </row>
    <row r="2587" spans="4:9" ht="13.5" thickBot="1">
      <c r="D2587" s="5" t="s">
        <v>825</v>
      </c>
      <c r="E2587" s="55" t="s">
        <v>905</v>
      </c>
      <c r="F2587" s="55"/>
      <c r="H2587" s="24">
        <v>1200000</v>
      </c>
      <c r="I2587" s="24">
        <f>G2587+H2587</f>
        <v>1200000</v>
      </c>
    </row>
    <row r="2588" spans="5:9" ht="13.5" thickBot="1">
      <c r="E2588" s="56" t="s">
        <v>347</v>
      </c>
      <c r="F2588" s="56"/>
      <c r="G2588" s="26">
        <f>SUM(G2586:G2587)</f>
        <v>0</v>
      </c>
      <c r="H2588" s="26">
        <f>SUM(H2586:H2587)</f>
        <v>251200000</v>
      </c>
      <c r="I2588" s="26">
        <f>G2588+H2588</f>
        <v>251200000</v>
      </c>
    </row>
    <row r="2589" spans="5:9" ht="12.75">
      <c r="E2589" s="58" t="s">
        <v>569</v>
      </c>
      <c r="F2589" s="58"/>
      <c r="G2589" s="25"/>
      <c r="H2589" s="25"/>
      <c r="I2589" s="25"/>
    </row>
    <row r="2590" spans="4:9" ht="12.75">
      <c r="D2590" s="5" t="s">
        <v>784</v>
      </c>
      <c r="E2590" s="55" t="s">
        <v>785</v>
      </c>
      <c r="F2590" s="55"/>
      <c r="G2590" s="24">
        <v>0</v>
      </c>
      <c r="H2590" s="24">
        <v>250000000</v>
      </c>
      <c r="I2590" s="24">
        <f>G2590+H2590</f>
        <v>250000000</v>
      </c>
    </row>
    <row r="2591" spans="4:9" ht="13.5" thickBot="1">
      <c r="D2591" s="5" t="s">
        <v>825</v>
      </c>
      <c r="E2591" s="55" t="s">
        <v>905</v>
      </c>
      <c r="F2591" s="55"/>
      <c r="G2591" s="24">
        <v>0</v>
      </c>
      <c r="H2591" s="24">
        <v>1200000</v>
      </c>
      <c r="I2591" s="24">
        <f>G2591+H2591</f>
        <v>1200000</v>
      </c>
    </row>
    <row r="2592" spans="5:9" ht="13.5" thickBot="1">
      <c r="E2592" s="56" t="s">
        <v>570</v>
      </c>
      <c r="F2592" s="56"/>
      <c r="G2592" s="26">
        <f>SUM(G2590:G2591)</f>
        <v>0</v>
      </c>
      <c r="H2592" s="26">
        <f>SUM(H2590:H2591)</f>
        <v>251200000</v>
      </c>
      <c r="I2592" s="26">
        <f>G2592+H2592</f>
        <v>251200000</v>
      </c>
    </row>
    <row r="2594" spans="1:6" ht="25.5" customHeight="1">
      <c r="A2594" s="8" t="s">
        <v>766</v>
      </c>
      <c r="B2594" s="9" t="s">
        <v>571</v>
      </c>
      <c r="C2594" s="8"/>
      <c r="D2594" s="9"/>
      <c r="E2594" s="57" t="s">
        <v>376</v>
      </c>
      <c r="F2594" s="57"/>
    </row>
    <row r="2595" spans="1:6" ht="12.75">
      <c r="A2595" s="8"/>
      <c r="B2595" s="9"/>
      <c r="C2595" s="8">
        <v>130</v>
      </c>
      <c r="D2595" s="9"/>
      <c r="E2595" s="57" t="s">
        <v>771</v>
      </c>
      <c r="F2595" s="57"/>
    </row>
    <row r="2596" spans="4:9" ht="12.75">
      <c r="D2596" s="5" t="s">
        <v>923</v>
      </c>
      <c r="E2596" s="55" t="s">
        <v>883</v>
      </c>
      <c r="F2596" s="55"/>
      <c r="G2596" s="24">
        <v>0</v>
      </c>
      <c r="H2596" s="24">
        <f>10244500+10244500</f>
        <v>20489000</v>
      </c>
      <c r="I2596" s="24">
        <f>G2596+H2596</f>
        <v>20489000</v>
      </c>
    </row>
    <row r="2597" spans="4:9" ht="12.75" customHeight="1">
      <c r="D2597" s="5" t="s">
        <v>930</v>
      </c>
      <c r="E2597" s="55" t="s">
        <v>209</v>
      </c>
      <c r="F2597" s="55"/>
      <c r="G2597" s="24">
        <v>0</v>
      </c>
      <c r="H2597" s="24">
        <v>100000000</v>
      </c>
      <c r="I2597" s="24">
        <f>G2597+H2597</f>
        <v>100000000</v>
      </c>
    </row>
    <row r="2598" spans="4:9" ht="13.5" thickBot="1">
      <c r="D2598" s="5" t="s">
        <v>931</v>
      </c>
      <c r="E2598" s="55" t="s">
        <v>210</v>
      </c>
      <c r="F2598" s="55"/>
      <c r="G2598" s="24">
        <v>0</v>
      </c>
      <c r="H2598" s="24">
        <f>160000000+169475000</f>
        <v>329475000</v>
      </c>
      <c r="I2598" s="24">
        <f>G2598+H2598</f>
        <v>329475000</v>
      </c>
    </row>
    <row r="2599" spans="5:9" ht="12.75">
      <c r="E2599" s="58" t="s">
        <v>346</v>
      </c>
      <c r="F2599" s="58"/>
      <c r="G2599" s="25"/>
      <c r="H2599" s="25"/>
      <c r="I2599" s="25"/>
    </row>
    <row r="2600" spans="4:9" ht="12.75">
      <c r="D2600" s="5" t="s">
        <v>784</v>
      </c>
      <c r="E2600" s="55" t="s">
        <v>785</v>
      </c>
      <c r="F2600" s="55"/>
      <c r="H2600" s="24">
        <v>269475000</v>
      </c>
      <c r="I2600" s="24">
        <f>G2600+H2600</f>
        <v>269475000</v>
      </c>
    </row>
    <row r="2601" spans="4:9" ht="13.5" thickBot="1">
      <c r="D2601" s="5" t="s">
        <v>825</v>
      </c>
      <c r="E2601" s="55" t="s">
        <v>905</v>
      </c>
      <c r="F2601" s="55"/>
      <c r="H2601" s="24">
        <v>180489000</v>
      </c>
      <c r="I2601" s="24">
        <f>G2601+H2601</f>
        <v>180489000</v>
      </c>
    </row>
    <row r="2602" spans="5:9" ht="13.5" thickBot="1">
      <c r="E2602" s="56" t="s">
        <v>347</v>
      </c>
      <c r="F2602" s="56"/>
      <c r="G2602" s="26">
        <f>SUM(G2600:G2601)</f>
        <v>0</v>
      </c>
      <c r="H2602" s="26">
        <f>SUM(H2600:H2601)</f>
        <v>449964000</v>
      </c>
      <c r="I2602" s="26">
        <f>G2602+H2602</f>
        <v>449964000</v>
      </c>
    </row>
    <row r="2603" spans="5:9" ht="12.75">
      <c r="E2603" s="58" t="s">
        <v>572</v>
      </c>
      <c r="F2603" s="58"/>
      <c r="G2603" s="25"/>
      <c r="H2603" s="25"/>
      <c r="I2603" s="25"/>
    </row>
    <row r="2604" spans="4:9" ht="12.75">
      <c r="D2604" s="5" t="s">
        <v>784</v>
      </c>
      <c r="E2604" s="55" t="s">
        <v>785</v>
      </c>
      <c r="F2604" s="55"/>
      <c r="G2604" s="24">
        <v>0</v>
      </c>
      <c r="H2604" s="24">
        <f>+H2600</f>
        <v>269475000</v>
      </c>
      <c r="I2604" s="24">
        <f>G2604+H2604</f>
        <v>269475000</v>
      </c>
    </row>
    <row r="2605" spans="4:9" ht="13.5" thickBot="1">
      <c r="D2605" s="5" t="s">
        <v>825</v>
      </c>
      <c r="E2605" s="55" t="s">
        <v>905</v>
      </c>
      <c r="F2605" s="55"/>
      <c r="G2605" s="24">
        <v>0</v>
      </c>
      <c r="H2605" s="24">
        <f>+H2601</f>
        <v>180489000</v>
      </c>
      <c r="I2605" s="24">
        <f>G2605+H2605</f>
        <v>180489000</v>
      </c>
    </row>
    <row r="2606" spans="5:9" ht="13.5" thickBot="1">
      <c r="E2606" s="56" t="s">
        <v>573</v>
      </c>
      <c r="F2606" s="56"/>
      <c r="G2606" s="26">
        <f>SUM(G2604:G2605)</f>
        <v>0</v>
      </c>
      <c r="H2606" s="26">
        <f>SUM(H2604:H2605)</f>
        <v>449964000</v>
      </c>
      <c r="I2606" s="26">
        <f>G2606+H2606</f>
        <v>449964000</v>
      </c>
    </row>
    <row r="2607" spans="5:9" ht="12.75">
      <c r="E2607" s="58" t="s">
        <v>397</v>
      </c>
      <c r="F2607" s="58"/>
      <c r="G2607" s="25"/>
      <c r="H2607" s="25"/>
      <c r="I2607" s="25"/>
    </row>
    <row r="2608" spans="4:9" ht="12.75">
      <c r="D2608" s="5" t="s">
        <v>772</v>
      </c>
      <c r="E2608" s="55" t="s">
        <v>773</v>
      </c>
      <c r="F2608" s="55"/>
      <c r="G2608" s="24">
        <f>+G2572</f>
        <v>1293356000</v>
      </c>
      <c r="H2608" s="24">
        <v>0</v>
      </c>
      <c r="I2608" s="24">
        <f aca="true" t="shared" si="129" ref="I2608:I2616">G2608+H2608</f>
        <v>1293356000</v>
      </c>
    </row>
    <row r="2609" spans="4:9" ht="12.75">
      <c r="D2609" s="5" t="s">
        <v>784</v>
      </c>
      <c r="E2609" s="55" t="s">
        <v>785</v>
      </c>
      <c r="F2609" s="55"/>
      <c r="G2609" s="24">
        <v>0</v>
      </c>
      <c r="H2609" s="24">
        <f>+H2604+H2590+H2573</f>
        <v>570465388.05</v>
      </c>
      <c r="I2609" s="24">
        <f t="shared" si="129"/>
        <v>570465388.05</v>
      </c>
    </row>
    <row r="2610" spans="4:9" ht="12.75">
      <c r="D2610" s="5" t="s">
        <v>778</v>
      </c>
      <c r="E2610" s="55" t="s">
        <v>779</v>
      </c>
      <c r="F2610" s="55"/>
      <c r="G2610" s="24">
        <v>0</v>
      </c>
      <c r="H2610" s="24">
        <f>+H2574</f>
        <v>20000000</v>
      </c>
      <c r="I2610" s="24">
        <f t="shared" si="129"/>
        <v>20000000</v>
      </c>
    </row>
    <row r="2611" spans="4:9" ht="12.75">
      <c r="D2611" s="5" t="s">
        <v>780</v>
      </c>
      <c r="E2611" s="55" t="s">
        <v>781</v>
      </c>
      <c r="F2611" s="55"/>
      <c r="G2611" s="24">
        <v>0</v>
      </c>
      <c r="H2611" s="24">
        <f>+H2575</f>
        <v>28951120</v>
      </c>
      <c r="I2611" s="24">
        <f t="shared" si="129"/>
        <v>28951120</v>
      </c>
    </row>
    <row r="2612" spans="4:9" ht="12.75">
      <c r="D2612" s="5" t="s">
        <v>790</v>
      </c>
      <c r="E2612" s="55" t="s">
        <v>791</v>
      </c>
      <c r="F2612" s="55"/>
      <c r="G2612" s="24">
        <v>0</v>
      </c>
      <c r="H2612" s="24">
        <f>+H2576</f>
        <v>2210768587.37</v>
      </c>
      <c r="I2612" s="24">
        <f t="shared" si="129"/>
        <v>2210768587.37</v>
      </c>
    </row>
    <row r="2613" spans="4:9" ht="12.75">
      <c r="D2613" s="5" t="s">
        <v>825</v>
      </c>
      <c r="E2613" s="55" t="s">
        <v>905</v>
      </c>
      <c r="F2613" s="55"/>
      <c r="G2613" s="24">
        <v>0</v>
      </c>
      <c r="H2613" s="24">
        <f>+H2605+H2591+H2577</f>
        <v>230189000</v>
      </c>
      <c r="I2613" s="24">
        <f t="shared" si="129"/>
        <v>230189000</v>
      </c>
    </row>
    <row r="2614" spans="4:9" ht="12.75">
      <c r="D2614" s="5" t="s">
        <v>830</v>
      </c>
      <c r="E2614" s="55" t="s">
        <v>906</v>
      </c>
      <c r="F2614" s="55"/>
      <c r="G2614" s="24">
        <v>0</v>
      </c>
      <c r="H2614" s="24">
        <f>+H2578</f>
        <v>1918380249.9999998</v>
      </c>
      <c r="I2614" s="24">
        <f t="shared" si="129"/>
        <v>1918380249.9999998</v>
      </c>
    </row>
    <row r="2615" spans="4:9" ht="13.5" thickBot="1">
      <c r="D2615" s="5" t="s">
        <v>979</v>
      </c>
      <c r="E2615" s="55" t="s">
        <v>374</v>
      </c>
      <c r="F2615" s="55"/>
      <c r="G2615" s="24">
        <v>0</v>
      </c>
      <c r="H2615" s="24">
        <f>+H2579</f>
        <v>1350892.61</v>
      </c>
      <c r="I2615" s="24">
        <f t="shared" si="129"/>
        <v>1350892.61</v>
      </c>
    </row>
    <row r="2616" spans="5:9" ht="13.5" thickBot="1">
      <c r="E2616" s="56" t="s">
        <v>398</v>
      </c>
      <c r="F2616" s="56"/>
      <c r="G2616" s="26">
        <f>SUM(G2608:G2615)</f>
        <v>1293356000</v>
      </c>
      <c r="H2616" s="26">
        <f>SUM(H2608:H2615)</f>
        <v>4980105238.03</v>
      </c>
      <c r="I2616" s="26">
        <f t="shared" si="129"/>
        <v>6273461238.03</v>
      </c>
    </row>
    <row r="2617" spans="5:9" ht="12.75">
      <c r="E2617" s="12"/>
      <c r="F2617" s="12"/>
      <c r="G2617" s="29"/>
      <c r="H2617" s="29"/>
      <c r="I2617" s="29"/>
    </row>
    <row r="2618" spans="1:6" ht="12.75">
      <c r="A2618" s="8">
        <v>28</v>
      </c>
      <c r="B2618" s="9" t="s">
        <v>766</v>
      </c>
      <c r="C2618" s="8"/>
      <c r="D2618" s="9"/>
      <c r="E2618" s="57" t="s">
        <v>263</v>
      </c>
      <c r="F2618" s="57"/>
    </row>
    <row r="2619" spans="1:6" ht="12.75">
      <c r="A2619" s="8"/>
      <c r="B2619" s="9"/>
      <c r="C2619" s="8" t="s">
        <v>865</v>
      </c>
      <c r="D2619" s="9"/>
      <c r="E2619" s="57" t="s">
        <v>866</v>
      </c>
      <c r="F2619" s="57"/>
    </row>
    <row r="2620" spans="4:9" ht="12.75">
      <c r="D2620" s="5" t="s">
        <v>911</v>
      </c>
      <c r="E2620" s="55" t="s">
        <v>199</v>
      </c>
      <c r="F2620" s="55"/>
      <c r="G2620" s="24">
        <v>3906000</v>
      </c>
      <c r="H2620" s="24">
        <v>0</v>
      </c>
      <c r="I2620" s="24">
        <f aca="true" t="shared" si="130" ref="I2620:I2629">G2620+H2620</f>
        <v>3906000</v>
      </c>
    </row>
    <row r="2621" spans="4:9" ht="12.75">
      <c r="D2621" s="5" t="s">
        <v>912</v>
      </c>
      <c r="E2621" s="55" t="s">
        <v>877</v>
      </c>
      <c r="F2621" s="55"/>
      <c r="G2621" s="24">
        <v>699000</v>
      </c>
      <c r="H2621" s="24">
        <v>0</v>
      </c>
      <c r="I2621" s="24">
        <f t="shared" si="130"/>
        <v>699000</v>
      </c>
    </row>
    <row r="2622" spans="4:9" ht="12.75">
      <c r="D2622" s="5" t="s">
        <v>921</v>
      </c>
      <c r="E2622" s="55" t="s">
        <v>880</v>
      </c>
      <c r="F2622" s="55"/>
      <c r="G2622" s="24">
        <v>110000</v>
      </c>
      <c r="H2622" s="24">
        <v>0</v>
      </c>
      <c r="I2622" s="24">
        <f t="shared" si="130"/>
        <v>110000</v>
      </c>
    </row>
    <row r="2623" spans="4:9" ht="12.75">
      <c r="D2623" s="5" t="s">
        <v>919</v>
      </c>
      <c r="E2623" s="55" t="s">
        <v>200</v>
      </c>
      <c r="F2623" s="55"/>
      <c r="G2623" s="24">
        <v>120000</v>
      </c>
      <c r="H2623" s="24">
        <v>0</v>
      </c>
      <c r="I2623" s="24">
        <f t="shared" si="130"/>
        <v>120000</v>
      </c>
    </row>
    <row r="2624" spans="4:9" ht="12.75">
      <c r="D2624" s="5" t="s">
        <v>913</v>
      </c>
      <c r="E2624" s="55" t="s">
        <v>881</v>
      </c>
      <c r="F2624" s="55"/>
      <c r="G2624" s="24">
        <v>200000</v>
      </c>
      <c r="H2624" s="24">
        <v>0</v>
      </c>
      <c r="I2624" s="24">
        <f t="shared" si="130"/>
        <v>200000</v>
      </c>
    </row>
    <row r="2625" spans="4:9" ht="12.75">
      <c r="D2625" s="5" t="s">
        <v>915</v>
      </c>
      <c r="E2625" s="55" t="s">
        <v>879</v>
      </c>
      <c r="F2625" s="55"/>
      <c r="G2625" s="24">
        <v>76000</v>
      </c>
      <c r="H2625" s="24">
        <v>0</v>
      </c>
      <c r="I2625" s="24">
        <f t="shared" si="130"/>
        <v>76000</v>
      </c>
    </row>
    <row r="2626" spans="4:9" ht="12.75">
      <c r="D2626" s="5" t="s">
        <v>916</v>
      </c>
      <c r="E2626" s="55" t="s">
        <v>882</v>
      </c>
      <c r="F2626" s="55"/>
      <c r="G2626" s="24">
        <v>839000</v>
      </c>
      <c r="H2626" s="24">
        <v>0</v>
      </c>
      <c r="I2626" s="24">
        <f t="shared" si="130"/>
        <v>839000</v>
      </c>
    </row>
    <row r="2627" spans="4:9" ht="12.75">
      <c r="D2627" s="5" t="s">
        <v>924</v>
      </c>
      <c r="E2627" s="55" t="s">
        <v>203</v>
      </c>
      <c r="F2627" s="55"/>
      <c r="G2627" s="24">
        <v>20000</v>
      </c>
      <c r="H2627" s="24">
        <v>0</v>
      </c>
      <c r="I2627" s="24">
        <f t="shared" si="130"/>
        <v>20000</v>
      </c>
    </row>
    <row r="2628" spans="4:9" ht="12.75">
      <c r="D2628" s="5" t="s">
        <v>925</v>
      </c>
      <c r="E2628" s="55" t="s">
        <v>884</v>
      </c>
      <c r="F2628" s="55"/>
      <c r="G2628" s="24">
        <v>238000</v>
      </c>
      <c r="H2628" s="24">
        <v>0</v>
      </c>
      <c r="I2628" s="24">
        <f t="shared" si="130"/>
        <v>238000</v>
      </c>
    </row>
    <row r="2629" spans="4:9" ht="13.5" thickBot="1">
      <c r="D2629" s="5" t="s">
        <v>753</v>
      </c>
      <c r="E2629" s="55" t="s">
        <v>211</v>
      </c>
      <c r="F2629" s="55"/>
      <c r="G2629" s="24">
        <v>350000000</v>
      </c>
      <c r="H2629" s="24">
        <v>0</v>
      </c>
      <c r="I2629" s="24">
        <f t="shared" si="130"/>
        <v>350000000</v>
      </c>
    </row>
    <row r="2630" spans="5:9" ht="12.75">
      <c r="E2630" s="58" t="s">
        <v>393</v>
      </c>
      <c r="F2630" s="58"/>
      <c r="G2630" s="25"/>
      <c r="H2630" s="25"/>
      <c r="I2630" s="25"/>
    </row>
    <row r="2631" spans="4:9" ht="13.5" thickBot="1">
      <c r="D2631" s="5" t="s">
        <v>772</v>
      </c>
      <c r="E2631" s="55" t="s">
        <v>773</v>
      </c>
      <c r="F2631" s="55"/>
      <c r="G2631" s="24">
        <f>SUM(G2620:G2630)</f>
        <v>356208000</v>
      </c>
      <c r="I2631" s="24">
        <f>G2631+H2631</f>
        <v>356208000</v>
      </c>
    </row>
    <row r="2632" spans="5:9" ht="13.5" thickBot="1">
      <c r="E2632" s="56" t="s">
        <v>394</v>
      </c>
      <c r="F2632" s="56"/>
      <c r="G2632" s="26">
        <f>SUM(G2631:G2631)</f>
        <v>356208000</v>
      </c>
      <c r="H2632" s="26">
        <f>SUM(H2631:H2631)</f>
        <v>0</v>
      </c>
      <c r="I2632" s="26">
        <f>G2632+H2632</f>
        <v>356208000</v>
      </c>
    </row>
    <row r="2633" spans="5:9" ht="12.75">
      <c r="E2633" s="58" t="s">
        <v>574</v>
      </c>
      <c r="F2633" s="58"/>
      <c r="G2633" s="25"/>
      <c r="H2633" s="25"/>
      <c r="I2633" s="25"/>
    </row>
    <row r="2634" spans="4:9" ht="13.5" thickBot="1">
      <c r="D2634" s="5" t="s">
        <v>772</v>
      </c>
      <c r="E2634" s="55" t="s">
        <v>773</v>
      </c>
      <c r="F2634" s="55"/>
      <c r="G2634" s="24">
        <f>+G2631</f>
        <v>356208000</v>
      </c>
      <c r="H2634" s="24">
        <v>0</v>
      </c>
      <c r="I2634" s="24">
        <f>G2634+H2634</f>
        <v>356208000</v>
      </c>
    </row>
    <row r="2635" spans="5:9" ht="13.5" thickBot="1">
      <c r="E2635" s="56" t="s">
        <v>399</v>
      </c>
      <c r="F2635" s="56"/>
      <c r="G2635" s="26">
        <f>SUM(G2634:G2634)</f>
        <v>356208000</v>
      </c>
      <c r="H2635" s="26">
        <f>SUM(H2634:H2634)</f>
        <v>0</v>
      </c>
      <c r="I2635" s="26">
        <f>G2635+H2635</f>
        <v>356208000</v>
      </c>
    </row>
    <row r="2636" spans="5:9" ht="12.75">
      <c r="E2636" s="12"/>
      <c r="F2636" s="12"/>
      <c r="G2636" s="29"/>
      <c r="H2636" s="29"/>
      <c r="I2636" s="29"/>
    </row>
    <row r="2637" spans="1:6" ht="12.75">
      <c r="A2637" s="8">
        <v>29</v>
      </c>
      <c r="B2637" s="9" t="s">
        <v>766</v>
      </c>
      <c r="C2637" s="8"/>
      <c r="D2637" s="9"/>
      <c r="E2637" s="57" t="s">
        <v>40</v>
      </c>
      <c r="F2637" s="57"/>
    </row>
    <row r="2638" spans="1:6" ht="27.75" customHeight="1">
      <c r="A2638" s="8"/>
      <c r="B2638" s="9"/>
      <c r="C2638" s="8" t="s">
        <v>802</v>
      </c>
      <c r="D2638" s="9"/>
      <c r="E2638" s="57" t="s">
        <v>803</v>
      </c>
      <c r="F2638" s="57"/>
    </row>
    <row r="2639" spans="4:9" ht="12.75">
      <c r="D2639" s="5" t="s">
        <v>911</v>
      </c>
      <c r="E2639" s="55" t="s">
        <v>199</v>
      </c>
      <c r="F2639" s="55"/>
      <c r="G2639" s="24">
        <v>12225000</v>
      </c>
      <c r="H2639" s="24">
        <v>0</v>
      </c>
      <c r="I2639" s="24">
        <f aca="true" t="shared" si="131" ref="I2639:I2648">G2639+H2639</f>
        <v>12225000</v>
      </c>
    </row>
    <row r="2640" spans="4:9" ht="12.75">
      <c r="D2640" s="5" t="s">
        <v>912</v>
      </c>
      <c r="E2640" s="55" t="s">
        <v>877</v>
      </c>
      <c r="F2640" s="55"/>
      <c r="G2640" s="24">
        <v>2259000</v>
      </c>
      <c r="H2640" s="24">
        <v>0</v>
      </c>
      <c r="I2640" s="24">
        <f t="shared" si="131"/>
        <v>2259000</v>
      </c>
    </row>
    <row r="2641" spans="4:9" ht="12.75">
      <c r="D2641" s="5" t="s">
        <v>918</v>
      </c>
      <c r="E2641" s="55" t="s">
        <v>878</v>
      </c>
      <c r="F2641" s="55"/>
      <c r="G2641" s="24">
        <v>304000</v>
      </c>
      <c r="H2641" s="24">
        <v>0</v>
      </c>
      <c r="I2641" s="24">
        <f t="shared" si="131"/>
        <v>304000</v>
      </c>
    </row>
    <row r="2642" spans="4:9" ht="12.75">
      <c r="D2642" s="5" t="s">
        <v>921</v>
      </c>
      <c r="E2642" s="55" t="s">
        <v>880</v>
      </c>
      <c r="F2642" s="55"/>
      <c r="G2642" s="24">
        <v>312000</v>
      </c>
      <c r="H2642" s="24">
        <v>0</v>
      </c>
      <c r="I2642" s="24">
        <f t="shared" si="131"/>
        <v>312000</v>
      </c>
    </row>
    <row r="2643" spans="4:9" ht="12.75">
      <c r="D2643" s="5" t="s">
        <v>919</v>
      </c>
      <c r="E2643" s="55" t="s">
        <v>200</v>
      </c>
      <c r="F2643" s="55"/>
      <c r="G2643" s="24">
        <v>630000</v>
      </c>
      <c r="H2643" s="24">
        <v>0</v>
      </c>
      <c r="I2643" s="24">
        <f t="shared" si="131"/>
        <v>630000</v>
      </c>
    </row>
    <row r="2644" spans="4:9" ht="12.75">
      <c r="D2644" s="5" t="s">
        <v>913</v>
      </c>
      <c r="E2644" s="55" t="s">
        <v>881</v>
      </c>
      <c r="F2644" s="55"/>
      <c r="G2644" s="24">
        <v>2027000</v>
      </c>
      <c r="H2644" s="24">
        <v>0</v>
      </c>
      <c r="I2644" s="24">
        <f t="shared" si="131"/>
        <v>2027000</v>
      </c>
    </row>
    <row r="2645" spans="4:9" ht="12.75">
      <c r="D2645" s="5" t="s">
        <v>915</v>
      </c>
      <c r="E2645" s="55" t="s">
        <v>879</v>
      </c>
      <c r="F2645" s="55"/>
      <c r="G2645" s="24">
        <v>840000</v>
      </c>
      <c r="H2645" s="24">
        <v>0</v>
      </c>
      <c r="I2645" s="24">
        <f t="shared" si="131"/>
        <v>840000</v>
      </c>
    </row>
    <row r="2646" spans="4:9" ht="12.75">
      <c r="D2646" s="5" t="s">
        <v>916</v>
      </c>
      <c r="E2646" s="55" t="s">
        <v>882</v>
      </c>
      <c r="F2646" s="55"/>
      <c r="G2646" s="24">
        <v>1168000</v>
      </c>
      <c r="H2646" s="24">
        <v>250000</v>
      </c>
      <c r="I2646" s="24">
        <f t="shared" si="131"/>
        <v>1418000</v>
      </c>
    </row>
    <row r="2647" spans="4:9" ht="12.75">
      <c r="D2647" s="5" t="s">
        <v>925</v>
      </c>
      <c r="E2647" s="55" t="s">
        <v>884</v>
      </c>
      <c r="F2647" s="55"/>
      <c r="G2647" s="24">
        <v>1040000</v>
      </c>
      <c r="H2647" s="24">
        <v>0</v>
      </c>
      <c r="I2647" s="24">
        <f t="shared" si="131"/>
        <v>1040000</v>
      </c>
    </row>
    <row r="2648" spans="4:9" ht="12.75">
      <c r="D2648" s="5" t="s">
        <v>753</v>
      </c>
      <c r="E2648" s="55" t="s">
        <v>211</v>
      </c>
      <c r="F2648" s="55"/>
      <c r="G2648" s="24">
        <v>17065000</v>
      </c>
      <c r="H2648" s="24">
        <v>0</v>
      </c>
      <c r="I2648" s="24">
        <f t="shared" si="131"/>
        <v>17065000</v>
      </c>
    </row>
    <row r="2649" spans="5:6" ht="91.5" customHeight="1">
      <c r="E2649" s="59" t="s">
        <v>464</v>
      </c>
      <c r="F2649" s="55"/>
    </row>
    <row r="2650" spans="4:9" ht="12.75">
      <c r="D2650" s="5" t="s">
        <v>754</v>
      </c>
      <c r="E2650" s="55" t="s">
        <v>212</v>
      </c>
      <c r="F2650" s="55"/>
      <c r="G2650" s="24">
        <v>20000</v>
      </c>
      <c r="H2650" s="24">
        <v>0</v>
      </c>
      <c r="I2650" s="24">
        <f>G2650+H2650</f>
        <v>20000</v>
      </c>
    </row>
    <row r="2651" spans="4:9" ht="13.5" thickBot="1">
      <c r="D2651" s="5" t="s">
        <v>927</v>
      </c>
      <c r="E2651" s="55" t="s">
        <v>886</v>
      </c>
      <c r="F2651" s="55"/>
      <c r="G2651" s="24">
        <v>230000</v>
      </c>
      <c r="H2651" s="24">
        <v>0</v>
      </c>
      <c r="I2651" s="24">
        <f>G2651+H2651</f>
        <v>230000</v>
      </c>
    </row>
    <row r="2652" spans="5:9" ht="12.75">
      <c r="E2652" s="58" t="s">
        <v>32</v>
      </c>
      <c r="F2652" s="58"/>
      <c r="G2652" s="25"/>
      <c r="H2652" s="25"/>
      <c r="I2652" s="25"/>
    </row>
    <row r="2653" spans="4:9" ht="12.75">
      <c r="D2653" s="5" t="s">
        <v>772</v>
      </c>
      <c r="E2653" s="55" t="s">
        <v>773</v>
      </c>
      <c r="F2653" s="55"/>
      <c r="G2653" s="24">
        <f>SUM(G2639:G2652)</f>
        <v>38120000</v>
      </c>
      <c r="I2653" s="24">
        <f>G2653+H2653</f>
        <v>38120000</v>
      </c>
    </row>
    <row r="2654" spans="4:9" ht="13.5" thickBot="1">
      <c r="D2654" s="5" t="s">
        <v>780</v>
      </c>
      <c r="E2654" s="55" t="s">
        <v>781</v>
      </c>
      <c r="F2654" s="55"/>
      <c r="H2654" s="24">
        <v>250000</v>
      </c>
      <c r="I2654" s="24">
        <f>G2654+H2654</f>
        <v>250000</v>
      </c>
    </row>
    <row r="2655" spans="5:9" ht="13.5" thickBot="1">
      <c r="E2655" s="56" t="s">
        <v>33</v>
      </c>
      <c r="F2655" s="56"/>
      <c r="G2655" s="26">
        <f>SUM(G2653:G2654)</f>
        <v>38120000</v>
      </c>
      <c r="H2655" s="26">
        <f>SUM(H2653:H2654)</f>
        <v>250000</v>
      </c>
      <c r="I2655" s="26">
        <f>G2655+H2655</f>
        <v>38370000</v>
      </c>
    </row>
    <row r="2656" spans="5:9" ht="12.75">
      <c r="E2656" s="58" t="s">
        <v>400</v>
      </c>
      <c r="F2656" s="58"/>
      <c r="G2656" s="25"/>
      <c r="H2656" s="25"/>
      <c r="I2656" s="25"/>
    </row>
    <row r="2657" spans="4:9" ht="12.75">
      <c r="D2657" s="5" t="s">
        <v>772</v>
      </c>
      <c r="E2657" s="55" t="s">
        <v>773</v>
      </c>
      <c r="F2657" s="55"/>
      <c r="G2657" s="24">
        <f>+G2653</f>
        <v>38120000</v>
      </c>
      <c r="H2657" s="24">
        <v>0</v>
      </c>
      <c r="I2657" s="24">
        <f>G2657+H2657</f>
        <v>38120000</v>
      </c>
    </row>
    <row r="2658" spans="4:9" ht="13.5" thickBot="1">
      <c r="D2658" s="5" t="s">
        <v>780</v>
      </c>
      <c r="E2658" s="55" t="s">
        <v>781</v>
      </c>
      <c r="F2658" s="55"/>
      <c r="G2658" s="24">
        <v>0</v>
      </c>
      <c r="H2658" s="24">
        <v>250000</v>
      </c>
      <c r="I2658" s="24">
        <f>G2658+H2658</f>
        <v>250000</v>
      </c>
    </row>
    <row r="2659" spans="5:9" ht="13.5" thickBot="1">
      <c r="E2659" s="56" t="s">
        <v>401</v>
      </c>
      <c r="F2659" s="56"/>
      <c r="G2659" s="26">
        <f>SUM(G2657:G2658)</f>
        <v>38120000</v>
      </c>
      <c r="H2659" s="26">
        <f>SUM(H2657:H2658)</f>
        <v>250000</v>
      </c>
      <c r="I2659" s="26">
        <f>G2659+H2659</f>
        <v>38370000</v>
      </c>
    </row>
    <row r="2661" spans="1:6" ht="12.75">
      <c r="A2661" s="8">
        <v>30</v>
      </c>
      <c r="B2661" s="9"/>
      <c r="C2661" s="8"/>
      <c r="D2661" s="9"/>
      <c r="E2661" s="57" t="s">
        <v>135</v>
      </c>
      <c r="F2661" s="57"/>
    </row>
    <row r="2662" spans="1:6" ht="26.25" customHeight="1">
      <c r="A2662" s="8"/>
      <c r="B2662" s="9"/>
      <c r="C2662" s="8" t="s">
        <v>767</v>
      </c>
      <c r="D2662" s="9"/>
      <c r="E2662" s="57" t="s">
        <v>768</v>
      </c>
      <c r="F2662" s="57"/>
    </row>
    <row r="2663" spans="4:9" ht="12.75">
      <c r="D2663" s="5" t="s">
        <v>911</v>
      </c>
      <c r="E2663" s="55" t="s">
        <v>199</v>
      </c>
      <c r="F2663" s="55"/>
      <c r="G2663" s="24">
        <v>6743000</v>
      </c>
      <c r="H2663" s="24">
        <v>0</v>
      </c>
      <c r="I2663" s="24">
        <f aca="true" t="shared" si="132" ref="I2663:I2677">G2663+H2663</f>
        <v>6743000</v>
      </c>
    </row>
    <row r="2664" spans="4:9" ht="12.75">
      <c r="D2664" s="5" t="s">
        <v>912</v>
      </c>
      <c r="E2664" s="55" t="s">
        <v>877</v>
      </c>
      <c r="F2664" s="55"/>
      <c r="G2664" s="24">
        <v>1208000</v>
      </c>
      <c r="H2664" s="24">
        <v>0</v>
      </c>
      <c r="I2664" s="24">
        <f t="shared" si="132"/>
        <v>1208000</v>
      </c>
    </row>
    <row r="2665" spans="4:9" ht="12.75">
      <c r="D2665" s="5" t="s">
        <v>921</v>
      </c>
      <c r="E2665" s="55" t="s">
        <v>880</v>
      </c>
      <c r="F2665" s="55"/>
      <c r="G2665" s="24">
        <v>237000</v>
      </c>
      <c r="H2665" s="24">
        <v>0</v>
      </c>
      <c r="I2665" s="24">
        <f t="shared" si="132"/>
        <v>237000</v>
      </c>
    </row>
    <row r="2666" spans="4:9" ht="12.75">
      <c r="D2666" s="5" t="s">
        <v>919</v>
      </c>
      <c r="E2666" s="55" t="s">
        <v>200</v>
      </c>
      <c r="F2666" s="55"/>
      <c r="G2666" s="24">
        <v>122000</v>
      </c>
      <c r="H2666" s="24">
        <v>0</v>
      </c>
      <c r="I2666" s="24">
        <f t="shared" si="132"/>
        <v>122000</v>
      </c>
    </row>
    <row r="2667" spans="4:9" ht="12.75">
      <c r="D2667" s="5" t="s">
        <v>913</v>
      </c>
      <c r="E2667" s="55" t="s">
        <v>881</v>
      </c>
      <c r="F2667" s="55"/>
      <c r="G2667" s="24">
        <v>3037000</v>
      </c>
      <c r="H2667" s="24">
        <v>0</v>
      </c>
      <c r="I2667" s="24">
        <f t="shared" si="132"/>
        <v>3037000</v>
      </c>
    </row>
    <row r="2668" spans="4:9" ht="12.75">
      <c r="D2668" s="5" t="s">
        <v>915</v>
      </c>
      <c r="E2668" s="55" t="s">
        <v>879</v>
      </c>
      <c r="F2668" s="55"/>
      <c r="G2668" s="24">
        <v>5425000</v>
      </c>
      <c r="H2668" s="24">
        <v>0</v>
      </c>
      <c r="I2668" s="24">
        <f t="shared" si="132"/>
        <v>5425000</v>
      </c>
    </row>
    <row r="2669" spans="4:9" ht="12.75">
      <c r="D2669" s="5" t="s">
        <v>916</v>
      </c>
      <c r="E2669" s="55" t="s">
        <v>882</v>
      </c>
      <c r="F2669" s="55"/>
      <c r="G2669" s="24">
        <v>6390000</v>
      </c>
      <c r="H2669" s="24">
        <v>0</v>
      </c>
      <c r="I2669" s="24">
        <f t="shared" si="132"/>
        <v>6390000</v>
      </c>
    </row>
    <row r="2670" spans="4:9" ht="12.75">
      <c r="D2670" s="5" t="s">
        <v>923</v>
      </c>
      <c r="E2670" s="55" t="s">
        <v>883</v>
      </c>
      <c r="F2670" s="55"/>
      <c r="G2670" s="24">
        <v>1198000</v>
      </c>
      <c r="H2670" s="24">
        <v>0</v>
      </c>
      <c r="I2670" s="24">
        <f t="shared" si="132"/>
        <v>1198000</v>
      </c>
    </row>
    <row r="2671" spans="4:9" ht="12.75">
      <c r="D2671" s="5" t="s">
        <v>924</v>
      </c>
      <c r="E2671" s="55" t="s">
        <v>203</v>
      </c>
      <c r="F2671" s="55"/>
      <c r="G2671" s="24">
        <v>781000</v>
      </c>
      <c r="H2671" s="24">
        <v>0</v>
      </c>
      <c r="I2671" s="24">
        <f t="shared" si="132"/>
        <v>781000</v>
      </c>
    </row>
    <row r="2672" spans="4:9" ht="12.75">
      <c r="D2672" s="5" t="s">
        <v>925</v>
      </c>
      <c r="E2672" s="55" t="s">
        <v>884</v>
      </c>
      <c r="F2672" s="55"/>
      <c r="G2672" s="24">
        <v>730000</v>
      </c>
      <c r="H2672" s="24">
        <v>0</v>
      </c>
      <c r="I2672" s="24">
        <f t="shared" si="132"/>
        <v>730000</v>
      </c>
    </row>
    <row r="2673" spans="4:9" ht="12.75">
      <c r="D2673" s="5" t="s">
        <v>930</v>
      </c>
      <c r="E2673" s="55" t="s">
        <v>209</v>
      </c>
      <c r="F2673" s="55"/>
      <c r="G2673" s="24">
        <v>502000000</v>
      </c>
      <c r="H2673" s="24">
        <v>0</v>
      </c>
      <c r="I2673" s="24">
        <f t="shared" si="132"/>
        <v>502000000</v>
      </c>
    </row>
    <row r="2674" spans="4:9" ht="12.75">
      <c r="D2674" s="5" t="s">
        <v>750</v>
      </c>
      <c r="E2674" s="55" t="s">
        <v>887</v>
      </c>
      <c r="F2674" s="55"/>
      <c r="G2674" s="24">
        <v>46736000</v>
      </c>
      <c r="H2674" s="24">
        <v>0</v>
      </c>
      <c r="I2674" s="24">
        <f t="shared" si="132"/>
        <v>46736000</v>
      </c>
    </row>
    <row r="2675" spans="4:9" ht="12.75">
      <c r="D2675" s="5" t="s">
        <v>753</v>
      </c>
      <c r="E2675" s="55" t="s">
        <v>211</v>
      </c>
      <c r="F2675" s="55"/>
      <c r="G2675" s="24">
        <v>200000</v>
      </c>
      <c r="H2675" s="24">
        <v>0</v>
      </c>
      <c r="I2675" s="24">
        <f t="shared" si="132"/>
        <v>200000</v>
      </c>
    </row>
    <row r="2676" spans="4:9" ht="12.75">
      <c r="D2676" s="5" t="s">
        <v>754</v>
      </c>
      <c r="E2676" s="55" t="s">
        <v>212</v>
      </c>
      <c r="F2676" s="55"/>
      <c r="G2676" s="24">
        <v>120000</v>
      </c>
      <c r="H2676" s="24">
        <v>0</v>
      </c>
      <c r="I2676" s="24">
        <f t="shared" si="132"/>
        <v>120000</v>
      </c>
    </row>
    <row r="2677" spans="4:9" ht="13.5" thickBot="1">
      <c r="D2677" s="5" t="s">
        <v>927</v>
      </c>
      <c r="E2677" s="55" t="s">
        <v>886</v>
      </c>
      <c r="F2677" s="55"/>
      <c r="G2677" s="24">
        <v>300000</v>
      </c>
      <c r="H2677" s="24">
        <v>0</v>
      </c>
      <c r="I2677" s="24">
        <f t="shared" si="132"/>
        <v>300000</v>
      </c>
    </row>
    <row r="2678" spans="5:9" ht="12.75">
      <c r="E2678" s="58" t="s">
        <v>342</v>
      </c>
      <c r="F2678" s="58"/>
      <c r="G2678" s="25"/>
      <c r="H2678" s="25"/>
      <c r="I2678" s="25"/>
    </row>
    <row r="2679" spans="4:9" ht="13.5" thickBot="1">
      <c r="D2679" s="5" t="s">
        <v>772</v>
      </c>
      <c r="E2679" s="55" t="s">
        <v>773</v>
      </c>
      <c r="F2679" s="55"/>
      <c r="G2679" s="24">
        <f>SUM(G2663:G2678)</f>
        <v>575227000</v>
      </c>
      <c r="I2679" s="24">
        <f>G2679+H2679</f>
        <v>575227000</v>
      </c>
    </row>
    <row r="2680" spans="5:9" ht="13.5" thickBot="1">
      <c r="E2680" s="56" t="s">
        <v>343</v>
      </c>
      <c r="F2680" s="56"/>
      <c r="G2680" s="26">
        <f>SUM(G2679:G2679)</f>
        <v>575227000</v>
      </c>
      <c r="H2680" s="26">
        <f>SUM(H2679:H2679)</f>
        <v>0</v>
      </c>
      <c r="I2680" s="26">
        <f>G2680+H2680</f>
        <v>575227000</v>
      </c>
    </row>
    <row r="2681" spans="5:9" ht="12.75">
      <c r="E2681" s="12"/>
      <c r="F2681" s="12"/>
      <c r="G2681" s="29"/>
      <c r="H2681" s="29"/>
      <c r="I2681" s="29"/>
    </row>
    <row r="2682" spans="1:6" ht="12.75">
      <c r="A2682" s="8" t="s">
        <v>766</v>
      </c>
      <c r="B2682" s="9" t="s">
        <v>575</v>
      </c>
      <c r="C2682" s="8"/>
      <c r="D2682" s="9"/>
      <c r="E2682" s="57" t="s">
        <v>824</v>
      </c>
      <c r="F2682" s="57"/>
    </row>
    <row r="2683" spans="1:6" ht="29.25" customHeight="1">
      <c r="A2683" s="8"/>
      <c r="B2683" s="9"/>
      <c r="C2683" s="8" t="s">
        <v>875</v>
      </c>
      <c r="D2683" s="9"/>
      <c r="E2683" s="57" t="s">
        <v>876</v>
      </c>
      <c r="F2683" s="57"/>
    </row>
    <row r="2684" spans="4:9" ht="12.75">
      <c r="D2684" s="5" t="s">
        <v>915</v>
      </c>
      <c r="E2684" s="55" t="s">
        <v>879</v>
      </c>
      <c r="F2684" s="55"/>
      <c r="G2684" s="24">
        <v>0</v>
      </c>
      <c r="H2684" s="24">
        <v>2200000</v>
      </c>
      <c r="I2684" s="24">
        <f>G2684+H2684</f>
        <v>2200000</v>
      </c>
    </row>
    <row r="2685" spans="4:9" ht="12.75">
      <c r="D2685" s="5" t="s">
        <v>930</v>
      </c>
      <c r="E2685" s="55" t="s">
        <v>209</v>
      </c>
      <c r="F2685" s="55"/>
      <c r="G2685" s="24">
        <v>0</v>
      </c>
      <c r="H2685" s="24">
        <v>88000000</v>
      </c>
      <c r="I2685" s="24">
        <f>G2685+H2685</f>
        <v>88000000</v>
      </c>
    </row>
    <row r="2686" spans="4:9" ht="12.75">
      <c r="D2686" s="5" t="s">
        <v>750</v>
      </c>
      <c r="E2686" s="55" t="s">
        <v>887</v>
      </c>
      <c r="F2686" s="55"/>
      <c r="G2686" s="24">
        <v>0</v>
      </c>
      <c r="H2686" s="24">
        <v>114172683</v>
      </c>
      <c r="I2686" s="24">
        <f>G2686+H2686</f>
        <v>114172683</v>
      </c>
    </row>
    <row r="2687" spans="4:9" ht="13.5" thickBot="1">
      <c r="D2687" s="5" t="s">
        <v>753</v>
      </c>
      <c r="E2687" s="55" t="s">
        <v>211</v>
      </c>
      <c r="F2687" s="55"/>
      <c r="G2687" s="24">
        <v>0</v>
      </c>
      <c r="H2687" s="24">
        <v>2500000</v>
      </c>
      <c r="I2687" s="24">
        <f>G2687+H2687</f>
        <v>2500000</v>
      </c>
    </row>
    <row r="2688" spans="5:9" ht="12.75">
      <c r="E2688" s="58" t="s">
        <v>706</v>
      </c>
      <c r="F2688" s="58"/>
      <c r="G2688" s="25"/>
      <c r="H2688" s="25"/>
      <c r="I2688" s="25"/>
    </row>
    <row r="2689" spans="4:9" ht="12.75">
      <c r="D2689" s="5" t="s">
        <v>784</v>
      </c>
      <c r="E2689" s="55" t="s">
        <v>785</v>
      </c>
      <c r="F2689" s="55"/>
      <c r="H2689" s="24">
        <v>206200000</v>
      </c>
      <c r="I2689" s="24">
        <f>G2689+H2689</f>
        <v>206200000</v>
      </c>
    </row>
    <row r="2690" spans="4:8" ht="13.5" thickBot="1">
      <c r="D2690" s="5" t="s">
        <v>825</v>
      </c>
      <c r="E2690" s="54" t="s">
        <v>905</v>
      </c>
      <c r="F2690" s="54"/>
      <c r="H2690" s="24">
        <v>672683</v>
      </c>
    </row>
    <row r="2691" spans="5:9" ht="13.5" thickBot="1">
      <c r="E2691" s="56" t="s">
        <v>707</v>
      </c>
      <c r="F2691" s="56"/>
      <c r="G2691" s="26">
        <f>SUM(G2689:G2689)</f>
        <v>0</v>
      </c>
      <c r="H2691" s="26">
        <f>SUM(H2689:H2690)</f>
        <v>206872683</v>
      </c>
      <c r="I2691" s="26">
        <f>G2691+H2691</f>
        <v>206872683</v>
      </c>
    </row>
    <row r="2692" spans="5:9" ht="12.75">
      <c r="E2692" s="58" t="s">
        <v>576</v>
      </c>
      <c r="F2692" s="58"/>
      <c r="G2692" s="25"/>
      <c r="H2692" s="25"/>
      <c r="I2692" s="25"/>
    </row>
    <row r="2693" spans="4:9" ht="12.75">
      <c r="D2693" s="5" t="s">
        <v>784</v>
      </c>
      <c r="E2693" s="55" t="s">
        <v>785</v>
      </c>
      <c r="F2693" s="55"/>
      <c r="G2693" s="24">
        <v>0</v>
      </c>
      <c r="H2693" s="24">
        <f>+H2689</f>
        <v>206200000</v>
      </c>
      <c r="I2693" s="24">
        <f>G2693+H2693</f>
        <v>206200000</v>
      </c>
    </row>
    <row r="2694" spans="4:9" ht="13.5" thickBot="1">
      <c r="D2694" s="5" t="s">
        <v>825</v>
      </c>
      <c r="E2694" s="54" t="s">
        <v>905</v>
      </c>
      <c r="F2694" s="54"/>
      <c r="H2694" s="24">
        <f>+H2690</f>
        <v>672683</v>
      </c>
      <c r="I2694" s="24">
        <f>G2694+H2694</f>
        <v>672683</v>
      </c>
    </row>
    <row r="2695" spans="5:9" ht="13.5" thickBot="1">
      <c r="E2695" s="56" t="s">
        <v>577</v>
      </c>
      <c r="F2695" s="56"/>
      <c r="G2695" s="26">
        <f>SUM(G2693:G2693)</f>
        <v>0</v>
      </c>
      <c r="H2695" s="26">
        <f>SUM(H2693:H2694)</f>
        <v>206872683</v>
      </c>
      <c r="I2695" s="26">
        <f>G2695+H2695</f>
        <v>206872683</v>
      </c>
    </row>
    <row r="2696" spans="5:9" ht="12.75">
      <c r="E2696" s="58" t="s">
        <v>402</v>
      </c>
      <c r="F2696" s="58"/>
      <c r="G2696" s="25"/>
      <c r="H2696" s="25"/>
      <c r="I2696" s="25"/>
    </row>
    <row r="2697" spans="4:9" ht="12.75">
      <c r="D2697" s="5" t="s">
        <v>772</v>
      </c>
      <c r="E2697" s="55" t="s">
        <v>773</v>
      </c>
      <c r="F2697" s="55"/>
      <c r="G2697" s="24">
        <f>+G2679</f>
        <v>575227000</v>
      </c>
      <c r="H2697" s="24">
        <v>0</v>
      </c>
      <c r="I2697" s="24">
        <f>G2697+H2697</f>
        <v>575227000</v>
      </c>
    </row>
    <row r="2698" spans="4:9" ht="12.75">
      <c r="D2698" s="5" t="s">
        <v>784</v>
      </c>
      <c r="E2698" s="55" t="s">
        <v>785</v>
      </c>
      <c r="F2698" s="55"/>
      <c r="G2698" s="24">
        <v>0</v>
      </c>
      <c r="H2698" s="24">
        <f>+H2693</f>
        <v>206200000</v>
      </c>
      <c r="I2698" s="24">
        <f>G2698+H2698</f>
        <v>206200000</v>
      </c>
    </row>
    <row r="2699" spans="4:9" ht="13.5" thickBot="1">
      <c r="D2699" s="5" t="s">
        <v>825</v>
      </c>
      <c r="E2699" s="62" t="s">
        <v>905</v>
      </c>
      <c r="F2699" s="62"/>
      <c r="H2699" s="24">
        <f>+H2694</f>
        <v>672683</v>
      </c>
      <c r="I2699" s="24">
        <f>G2699+H2699</f>
        <v>672683</v>
      </c>
    </row>
    <row r="2700" spans="5:9" ht="13.5" thickBot="1">
      <c r="E2700" s="56" t="s">
        <v>403</v>
      </c>
      <c r="F2700" s="56"/>
      <c r="G2700" s="26">
        <f>SUM(G2697:G2699)</f>
        <v>575227000</v>
      </c>
      <c r="H2700" s="26">
        <f>SUM(H2697:H2699)</f>
        <v>206872683</v>
      </c>
      <c r="I2700" s="26">
        <f>G2700+H2700</f>
        <v>782099683</v>
      </c>
    </row>
    <row r="2701" spans="5:9" ht="6.75" customHeight="1">
      <c r="E2701" s="12"/>
      <c r="F2701" s="12"/>
      <c r="G2701" s="29"/>
      <c r="H2701" s="29"/>
      <c r="I2701" s="29"/>
    </row>
    <row r="2702" spans="1:6" ht="12.75">
      <c r="A2702" s="8">
        <v>31</v>
      </c>
      <c r="B2702" s="9" t="s">
        <v>766</v>
      </c>
      <c r="C2702" s="8"/>
      <c r="D2702" s="9"/>
      <c r="E2702" s="57" t="s">
        <v>285</v>
      </c>
      <c r="F2702" s="57"/>
    </row>
    <row r="2703" spans="1:6" ht="26.25" customHeight="1">
      <c r="A2703" s="8"/>
      <c r="B2703" s="9"/>
      <c r="C2703" s="8" t="s">
        <v>767</v>
      </c>
      <c r="D2703" s="9"/>
      <c r="E2703" s="57" t="s">
        <v>768</v>
      </c>
      <c r="F2703" s="57"/>
    </row>
    <row r="2704" spans="4:9" ht="12.75">
      <c r="D2704" s="5" t="s">
        <v>911</v>
      </c>
      <c r="E2704" s="55" t="s">
        <v>199</v>
      </c>
      <c r="F2704" s="55"/>
      <c r="G2704" s="24">
        <v>14268000</v>
      </c>
      <c r="H2704" s="24">
        <v>0</v>
      </c>
      <c r="I2704" s="24">
        <f aca="true" t="shared" si="133" ref="I2704:I2713">G2704+H2704</f>
        <v>14268000</v>
      </c>
    </row>
    <row r="2705" spans="4:9" ht="12.75">
      <c r="D2705" s="5" t="s">
        <v>912</v>
      </c>
      <c r="E2705" s="55" t="s">
        <v>877</v>
      </c>
      <c r="F2705" s="55"/>
      <c r="G2705" s="24">
        <v>2554000</v>
      </c>
      <c r="H2705" s="24">
        <v>0</v>
      </c>
      <c r="I2705" s="24">
        <f t="shared" si="133"/>
        <v>2554000</v>
      </c>
    </row>
    <row r="2706" spans="4:9" ht="12.75">
      <c r="D2706" s="5" t="s">
        <v>918</v>
      </c>
      <c r="E2706" s="55" t="s">
        <v>878</v>
      </c>
      <c r="F2706" s="55"/>
      <c r="G2706" s="24">
        <v>40000</v>
      </c>
      <c r="H2706" s="24">
        <v>0</v>
      </c>
      <c r="I2706" s="24">
        <f t="shared" si="133"/>
        <v>40000</v>
      </c>
    </row>
    <row r="2707" spans="4:9" ht="12.75">
      <c r="D2707" s="5" t="s">
        <v>921</v>
      </c>
      <c r="E2707" s="55" t="s">
        <v>880</v>
      </c>
      <c r="F2707" s="55"/>
      <c r="G2707" s="24">
        <v>144000</v>
      </c>
      <c r="H2707" s="24">
        <v>0</v>
      </c>
      <c r="I2707" s="24">
        <f t="shared" si="133"/>
        <v>144000</v>
      </c>
    </row>
    <row r="2708" spans="4:9" ht="12.75">
      <c r="D2708" s="5" t="s">
        <v>919</v>
      </c>
      <c r="E2708" s="55" t="s">
        <v>200</v>
      </c>
      <c r="F2708" s="55"/>
      <c r="G2708" s="24">
        <v>200000</v>
      </c>
      <c r="H2708" s="24">
        <v>0</v>
      </c>
      <c r="I2708" s="24">
        <f t="shared" si="133"/>
        <v>200000</v>
      </c>
    </row>
    <row r="2709" spans="4:9" ht="12.75">
      <c r="D2709" s="5" t="s">
        <v>913</v>
      </c>
      <c r="E2709" s="55" t="s">
        <v>881</v>
      </c>
      <c r="F2709" s="55"/>
      <c r="G2709" s="24">
        <v>310000</v>
      </c>
      <c r="H2709" s="24">
        <v>0</v>
      </c>
      <c r="I2709" s="24">
        <f t="shared" si="133"/>
        <v>310000</v>
      </c>
    </row>
    <row r="2710" spans="4:9" ht="12.75">
      <c r="D2710" s="5" t="s">
        <v>915</v>
      </c>
      <c r="E2710" s="55" t="s">
        <v>879</v>
      </c>
      <c r="F2710" s="55"/>
      <c r="G2710" s="24">
        <v>110000</v>
      </c>
      <c r="H2710" s="24">
        <v>0</v>
      </c>
      <c r="I2710" s="24">
        <f t="shared" si="133"/>
        <v>110000</v>
      </c>
    </row>
    <row r="2711" spans="4:9" ht="12.75">
      <c r="D2711" s="5" t="s">
        <v>916</v>
      </c>
      <c r="E2711" s="55" t="s">
        <v>882</v>
      </c>
      <c r="F2711" s="55"/>
      <c r="G2711" s="24">
        <v>364000</v>
      </c>
      <c r="H2711" s="24">
        <v>0</v>
      </c>
      <c r="I2711" s="24">
        <f t="shared" si="133"/>
        <v>364000</v>
      </c>
    </row>
    <row r="2712" spans="4:9" ht="12.75">
      <c r="D2712" s="5" t="s">
        <v>925</v>
      </c>
      <c r="E2712" s="55" t="s">
        <v>884</v>
      </c>
      <c r="F2712" s="55"/>
      <c r="G2712" s="24">
        <v>240000</v>
      </c>
      <c r="H2712" s="24">
        <v>0</v>
      </c>
      <c r="I2712" s="24">
        <f t="shared" si="133"/>
        <v>240000</v>
      </c>
    </row>
    <row r="2713" spans="4:9" ht="13.5" thickBot="1">
      <c r="D2713" s="5" t="s">
        <v>927</v>
      </c>
      <c r="E2713" s="55" t="s">
        <v>886</v>
      </c>
      <c r="F2713" s="55"/>
      <c r="G2713" s="24">
        <v>34000</v>
      </c>
      <c r="H2713" s="24">
        <v>0</v>
      </c>
      <c r="I2713" s="24">
        <f t="shared" si="133"/>
        <v>34000</v>
      </c>
    </row>
    <row r="2714" spans="5:9" ht="12.75">
      <c r="E2714" s="58" t="s">
        <v>342</v>
      </c>
      <c r="F2714" s="58"/>
      <c r="G2714" s="25"/>
      <c r="H2714" s="25"/>
      <c r="I2714" s="25"/>
    </row>
    <row r="2715" spans="4:9" ht="13.5" thickBot="1">
      <c r="D2715" s="5" t="s">
        <v>772</v>
      </c>
      <c r="E2715" s="55" t="s">
        <v>773</v>
      </c>
      <c r="F2715" s="55"/>
      <c r="G2715" s="24">
        <f>SUM(G2704:G2714)</f>
        <v>18264000</v>
      </c>
      <c r="I2715" s="24">
        <f>G2715+H2715</f>
        <v>18264000</v>
      </c>
    </row>
    <row r="2716" spans="5:9" ht="13.5" thickBot="1">
      <c r="E2716" s="56" t="s">
        <v>343</v>
      </c>
      <c r="F2716" s="56"/>
      <c r="G2716" s="26">
        <f>SUM(G2715:G2715)</f>
        <v>18264000</v>
      </c>
      <c r="H2716" s="26">
        <f>SUM(H2715:H2715)</f>
        <v>0</v>
      </c>
      <c r="I2716" s="26">
        <f>G2716+H2716</f>
        <v>18264000</v>
      </c>
    </row>
    <row r="2717" spans="5:9" ht="12.75">
      <c r="E2717" s="58" t="s">
        <v>404</v>
      </c>
      <c r="F2717" s="58"/>
      <c r="G2717" s="25"/>
      <c r="H2717" s="25"/>
      <c r="I2717" s="25"/>
    </row>
    <row r="2718" spans="4:9" ht="13.5" thickBot="1">
      <c r="D2718" s="5" t="s">
        <v>772</v>
      </c>
      <c r="E2718" s="55" t="s">
        <v>773</v>
      </c>
      <c r="F2718" s="55"/>
      <c r="G2718" s="24">
        <f>+G2715</f>
        <v>18264000</v>
      </c>
      <c r="H2718" s="24">
        <v>0</v>
      </c>
      <c r="I2718" s="24">
        <f>G2718+H2718</f>
        <v>18264000</v>
      </c>
    </row>
    <row r="2719" spans="5:9" ht="13.5" thickBot="1">
      <c r="E2719" s="56" t="s">
        <v>405</v>
      </c>
      <c r="F2719" s="56"/>
      <c r="G2719" s="26">
        <f>SUM(G2718:G2718)</f>
        <v>18264000</v>
      </c>
      <c r="H2719" s="26">
        <f>SUM(H2718:H2718)</f>
        <v>0</v>
      </c>
      <c r="I2719" s="26">
        <f>G2719+H2719</f>
        <v>18264000</v>
      </c>
    </row>
    <row r="2720" ht="6.75" customHeight="1"/>
    <row r="2721" spans="1:6" ht="12.75">
      <c r="A2721" s="8">
        <v>32</v>
      </c>
      <c r="B2721" s="9" t="s">
        <v>766</v>
      </c>
      <c r="C2721" s="8"/>
      <c r="D2721" s="9"/>
      <c r="E2721" s="57" t="s">
        <v>287</v>
      </c>
      <c r="F2721" s="57"/>
    </row>
    <row r="2722" spans="1:6" ht="12.75">
      <c r="A2722" s="8"/>
      <c r="B2722" s="9"/>
      <c r="C2722" s="8" t="s">
        <v>845</v>
      </c>
      <c r="D2722" s="9"/>
      <c r="E2722" s="57" t="s">
        <v>846</v>
      </c>
      <c r="F2722" s="57"/>
    </row>
    <row r="2723" spans="4:9" ht="12.75">
      <c r="D2723" s="5" t="s">
        <v>911</v>
      </c>
      <c r="E2723" s="55" t="s">
        <v>199</v>
      </c>
      <c r="F2723" s="55"/>
      <c r="G2723" s="24">
        <v>14454000</v>
      </c>
      <c r="H2723" s="24">
        <v>0</v>
      </c>
      <c r="I2723" s="24">
        <f aca="true" t="shared" si="134" ref="I2723:I2733">G2723+H2723</f>
        <v>14454000</v>
      </c>
    </row>
    <row r="2724" spans="4:9" ht="12.75">
      <c r="D2724" s="5" t="s">
        <v>912</v>
      </c>
      <c r="E2724" s="55" t="s">
        <v>877</v>
      </c>
      <c r="F2724" s="55"/>
      <c r="G2724" s="24">
        <v>2600000</v>
      </c>
      <c r="H2724" s="24">
        <v>0</v>
      </c>
      <c r="I2724" s="24">
        <f t="shared" si="134"/>
        <v>2600000</v>
      </c>
    </row>
    <row r="2725" spans="4:9" ht="12.75">
      <c r="D2725" s="5" t="s">
        <v>918</v>
      </c>
      <c r="E2725" s="55" t="s">
        <v>878</v>
      </c>
      <c r="F2725" s="55"/>
      <c r="G2725" s="24">
        <v>0</v>
      </c>
      <c r="H2725" s="24">
        <v>19000</v>
      </c>
      <c r="I2725" s="24">
        <f t="shared" si="134"/>
        <v>19000</v>
      </c>
    </row>
    <row r="2726" spans="4:9" ht="12.75">
      <c r="D2726" s="5" t="s">
        <v>921</v>
      </c>
      <c r="E2726" s="55" t="s">
        <v>880</v>
      </c>
      <c r="F2726" s="55"/>
      <c r="G2726" s="24">
        <v>115000</v>
      </c>
      <c r="H2726" s="24">
        <v>19000</v>
      </c>
      <c r="I2726" s="24">
        <f t="shared" si="134"/>
        <v>134000</v>
      </c>
    </row>
    <row r="2727" spans="4:9" ht="12.75">
      <c r="D2727" s="5" t="s">
        <v>919</v>
      </c>
      <c r="E2727" s="55" t="s">
        <v>200</v>
      </c>
      <c r="F2727" s="55"/>
      <c r="G2727" s="24">
        <v>228000</v>
      </c>
      <c r="H2727" s="24">
        <v>0</v>
      </c>
      <c r="I2727" s="24">
        <f t="shared" si="134"/>
        <v>228000</v>
      </c>
    </row>
    <row r="2728" spans="4:9" ht="12.75">
      <c r="D2728" s="5" t="s">
        <v>922</v>
      </c>
      <c r="E2728" s="55" t="s">
        <v>201</v>
      </c>
      <c r="F2728" s="55"/>
      <c r="G2728" s="24">
        <v>0</v>
      </c>
      <c r="H2728" s="24">
        <v>15000</v>
      </c>
      <c r="I2728" s="24">
        <f t="shared" si="134"/>
        <v>15000</v>
      </c>
    </row>
    <row r="2729" spans="4:9" ht="12.75">
      <c r="D2729" s="5" t="s">
        <v>913</v>
      </c>
      <c r="E2729" s="55" t="s">
        <v>881</v>
      </c>
      <c r="F2729" s="55"/>
      <c r="G2729" s="24">
        <v>200000</v>
      </c>
      <c r="H2729" s="24">
        <v>230000</v>
      </c>
      <c r="I2729" s="24">
        <f t="shared" si="134"/>
        <v>430000</v>
      </c>
    </row>
    <row r="2730" spans="4:9" ht="12.75">
      <c r="D2730" s="5" t="s">
        <v>915</v>
      </c>
      <c r="E2730" s="55" t="s">
        <v>879</v>
      </c>
      <c r="F2730" s="55"/>
      <c r="G2730" s="24">
        <v>105000</v>
      </c>
      <c r="H2730" s="24">
        <v>278000</v>
      </c>
      <c r="I2730" s="24">
        <f t="shared" si="134"/>
        <v>383000</v>
      </c>
    </row>
    <row r="2731" spans="4:9" ht="12.75">
      <c r="D2731" s="5" t="s">
        <v>916</v>
      </c>
      <c r="E2731" s="55" t="s">
        <v>882</v>
      </c>
      <c r="F2731" s="55"/>
      <c r="G2731" s="24">
        <v>144000</v>
      </c>
      <c r="H2731" s="24">
        <v>2810141.1</v>
      </c>
      <c r="I2731" s="24">
        <f t="shared" si="134"/>
        <v>2954141.1</v>
      </c>
    </row>
    <row r="2732" spans="4:9" ht="12.75">
      <c r="D2732" s="5" t="s">
        <v>924</v>
      </c>
      <c r="E2732" s="55" t="s">
        <v>203</v>
      </c>
      <c r="F2732" s="55"/>
      <c r="G2732" s="24">
        <v>20000</v>
      </c>
      <c r="H2732" s="24">
        <v>112000</v>
      </c>
      <c r="I2732" s="24">
        <f t="shared" si="134"/>
        <v>132000</v>
      </c>
    </row>
    <row r="2733" spans="4:9" ht="13.5" thickBot="1">
      <c r="D2733" s="5" t="s">
        <v>925</v>
      </c>
      <c r="E2733" s="55" t="s">
        <v>884</v>
      </c>
      <c r="F2733" s="55"/>
      <c r="G2733" s="24">
        <v>300000</v>
      </c>
      <c r="H2733" s="24">
        <v>158000</v>
      </c>
      <c r="I2733" s="24">
        <f t="shared" si="134"/>
        <v>458000</v>
      </c>
    </row>
    <row r="2734" spans="5:9" ht="12.75">
      <c r="E2734" s="58" t="s">
        <v>91</v>
      </c>
      <c r="F2734" s="58"/>
      <c r="G2734" s="25"/>
      <c r="H2734" s="25"/>
      <c r="I2734" s="25"/>
    </row>
    <row r="2735" spans="4:9" ht="12.75">
      <c r="D2735" s="5" t="s">
        <v>772</v>
      </c>
      <c r="E2735" s="55" t="s">
        <v>773</v>
      </c>
      <c r="F2735" s="55"/>
      <c r="G2735" s="24">
        <f>SUM(G2723:G2734)</f>
        <v>18166000</v>
      </c>
      <c r="I2735" s="24">
        <f>G2735+H2735</f>
        <v>18166000</v>
      </c>
    </row>
    <row r="2736" spans="4:9" ht="12.75">
      <c r="D2736" s="5" t="s">
        <v>784</v>
      </c>
      <c r="E2736" s="55" t="s">
        <v>785</v>
      </c>
      <c r="F2736" s="55"/>
      <c r="H2736" s="24">
        <v>1501000</v>
      </c>
      <c r="I2736" s="24">
        <f>G2736+H2736</f>
        <v>1501000</v>
      </c>
    </row>
    <row r="2737" spans="4:9" ht="13.5" thickBot="1">
      <c r="D2737" s="5" t="s">
        <v>825</v>
      </c>
      <c r="E2737" s="55" t="s">
        <v>905</v>
      </c>
      <c r="F2737" s="55"/>
      <c r="H2737" s="24">
        <v>2140141.1</v>
      </c>
      <c r="I2737" s="24">
        <f>G2737+H2737</f>
        <v>2140141.1</v>
      </c>
    </row>
    <row r="2738" spans="5:9" ht="13.5" thickBot="1">
      <c r="E2738" s="56" t="s">
        <v>92</v>
      </c>
      <c r="F2738" s="56"/>
      <c r="G2738" s="26">
        <f>SUM(G2735:G2737)</f>
        <v>18166000</v>
      </c>
      <c r="H2738" s="26">
        <f>SUM(H2735:H2737)</f>
        <v>3641141.1</v>
      </c>
      <c r="I2738" s="26">
        <f>G2738+H2738</f>
        <v>21807141.1</v>
      </c>
    </row>
    <row r="2739" spans="5:9" ht="12.75">
      <c r="E2739" s="58" t="s">
        <v>578</v>
      </c>
      <c r="F2739" s="58"/>
      <c r="G2739" s="25"/>
      <c r="H2739" s="25"/>
      <c r="I2739" s="25"/>
    </row>
    <row r="2740" spans="4:9" ht="12.75">
      <c r="D2740" s="5" t="s">
        <v>772</v>
      </c>
      <c r="E2740" s="55" t="s">
        <v>773</v>
      </c>
      <c r="F2740" s="55"/>
      <c r="G2740" s="24">
        <f>+G2735</f>
        <v>18166000</v>
      </c>
      <c r="H2740" s="24">
        <v>0</v>
      </c>
      <c r="I2740" s="24">
        <f>G2740+H2740</f>
        <v>18166000</v>
      </c>
    </row>
    <row r="2741" spans="4:9" ht="12.75">
      <c r="D2741" s="5" t="s">
        <v>784</v>
      </c>
      <c r="E2741" s="55" t="s">
        <v>785</v>
      </c>
      <c r="F2741" s="55"/>
      <c r="G2741" s="24">
        <v>0</v>
      </c>
      <c r="H2741" s="24">
        <f>+H2736</f>
        <v>1501000</v>
      </c>
      <c r="I2741" s="24">
        <f>G2741+H2741</f>
        <v>1501000</v>
      </c>
    </row>
    <row r="2742" spans="4:9" ht="13.5" thickBot="1">
      <c r="D2742" s="5" t="s">
        <v>825</v>
      </c>
      <c r="E2742" s="55" t="s">
        <v>905</v>
      </c>
      <c r="F2742" s="55"/>
      <c r="G2742" s="24">
        <v>0</v>
      </c>
      <c r="H2742" s="24">
        <f>+H2737</f>
        <v>2140141.1</v>
      </c>
      <c r="I2742" s="24">
        <f>G2742+H2742</f>
        <v>2140141.1</v>
      </c>
    </row>
    <row r="2743" spans="5:9" ht="13.5" thickBot="1">
      <c r="E2743" s="56" t="s">
        <v>406</v>
      </c>
      <c r="F2743" s="56"/>
      <c r="G2743" s="26">
        <f>SUM(G2740:G2742)</f>
        <v>18166000</v>
      </c>
      <c r="H2743" s="26">
        <f>SUM(H2740:H2742)</f>
        <v>3641141.1</v>
      </c>
      <c r="I2743" s="26">
        <f>G2743+H2743</f>
        <v>21807141.1</v>
      </c>
    </row>
    <row r="2744" ht="8.25" customHeight="1"/>
    <row r="2745" spans="1:6" ht="12.75">
      <c r="A2745" s="8">
        <v>33</v>
      </c>
      <c r="B2745" s="9" t="s">
        <v>766</v>
      </c>
      <c r="C2745" s="8"/>
      <c r="D2745" s="9"/>
      <c r="E2745" s="57" t="s">
        <v>288</v>
      </c>
      <c r="F2745" s="57"/>
    </row>
    <row r="2746" spans="1:6" ht="12.75">
      <c r="A2746" s="8"/>
      <c r="B2746" s="9"/>
      <c r="C2746" s="8" t="s">
        <v>770</v>
      </c>
      <c r="D2746" s="9"/>
      <c r="E2746" s="57" t="s">
        <v>771</v>
      </c>
      <c r="F2746" s="57"/>
    </row>
    <row r="2747" spans="4:9" ht="12.75">
      <c r="D2747" s="5" t="s">
        <v>911</v>
      </c>
      <c r="E2747" s="55" t="s">
        <v>199</v>
      </c>
      <c r="F2747" s="55"/>
      <c r="G2747" s="24">
        <v>174816000</v>
      </c>
      <c r="H2747" s="24">
        <v>0</v>
      </c>
      <c r="I2747" s="24">
        <f aca="true" t="shared" si="135" ref="I2747:I2760">G2747+H2747</f>
        <v>174816000</v>
      </c>
    </row>
    <row r="2748" spans="4:9" ht="12.75">
      <c r="D2748" s="5" t="s">
        <v>912</v>
      </c>
      <c r="E2748" s="55" t="s">
        <v>877</v>
      </c>
      <c r="F2748" s="55"/>
      <c r="G2748" s="24">
        <v>31291000</v>
      </c>
      <c r="H2748" s="24">
        <v>0</v>
      </c>
      <c r="I2748" s="24">
        <f t="shared" si="135"/>
        <v>31291000</v>
      </c>
    </row>
    <row r="2749" spans="4:9" ht="12.75">
      <c r="D2749" s="5" t="s">
        <v>918</v>
      </c>
      <c r="E2749" s="55" t="s">
        <v>878</v>
      </c>
      <c r="F2749" s="55"/>
      <c r="G2749" s="24">
        <v>250000</v>
      </c>
      <c r="H2749" s="24">
        <v>0</v>
      </c>
      <c r="I2749" s="24">
        <f t="shared" si="135"/>
        <v>250000</v>
      </c>
    </row>
    <row r="2750" spans="4:9" ht="12.75">
      <c r="D2750" s="5" t="s">
        <v>921</v>
      </c>
      <c r="E2750" s="55" t="s">
        <v>880</v>
      </c>
      <c r="F2750" s="55"/>
      <c r="G2750" s="24">
        <v>83000</v>
      </c>
      <c r="H2750" s="24">
        <v>28000</v>
      </c>
      <c r="I2750" s="24">
        <f t="shared" si="135"/>
        <v>111000</v>
      </c>
    </row>
    <row r="2751" spans="4:9" ht="12.75">
      <c r="D2751" s="5" t="s">
        <v>919</v>
      </c>
      <c r="E2751" s="55" t="s">
        <v>200</v>
      </c>
      <c r="F2751" s="55"/>
      <c r="G2751" s="24">
        <v>4825000</v>
      </c>
      <c r="H2751" s="24">
        <v>0</v>
      </c>
      <c r="I2751" s="24">
        <f t="shared" si="135"/>
        <v>4825000</v>
      </c>
    </row>
    <row r="2752" spans="4:9" ht="12.75">
      <c r="D2752" s="5" t="s">
        <v>913</v>
      </c>
      <c r="E2752" s="55" t="s">
        <v>881</v>
      </c>
      <c r="F2752" s="55"/>
      <c r="G2752" s="24">
        <v>8583000</v>
      </c>
      <c r="H2752" s="24">
        <v>850000</v>
      </c>
      <c r="I2752" s="24">
        <f t="shared" si="135"/>
        <v>9433000</v>
      </c>
    </row>
    <row r="2753" spans="4:9" ht="12.75">
      <c r="D2753" s="5" t="s">
        <v>915</v>
      </c>
      <c r="E2753" s="55" t="s">
        <v>879</v>
      </c>
      <c r="F2753" s="55"/>
      <c r="G2753" s="24">
        <v>595000</v>
      </c>
      <c r="H2753" s="24">
        <v>325000</v>
      </c>
      <c r="I2753" s="24">
        <f t="shared" si="135"/>
        <v>920000</v>
      </c>
    </row>
    <row r="2754" spans="4:9" ht="12.75">
      <c r="D2754" s="5" t="s">
        <v>916</v>
      </c>
      <c r="E2754" s="55" t="s">
        <v>882</v>
      </c>
      <c r="F2754" s="55"/>
      <c r="G2754" s="24">
        <v>1000000</v>
      </c>
      <c r="H2754" s="24">
        <v>2512000</v>
      </c>
      <c r="I2754" s="24">
        <f t="shared" si="135"/>
        <v>3512000</v>
      </c>
    </row>
    <row r="2755" spans="4:9" ht="12.75">
      <c r="D2755" s="5" t="s">
        <v>923</v>
      </c>
      <c r="E2755" s="55" t="s">
        <v>883</v>
      </c>
      <c r="F2755" s="55"/>
      <c r="G2755" s="24">
        <v>9000000</v>
      </c>
      <c r="H2755" s="24">
        <v>3044662</v>
      </c>
      <c r="I2755" s="24">
        <f t="shared" si="135"/>
        <v>12044662</v>
      </c>
    </row>
    <row r="2756" spans="4:9" ht="12.75">
      <c r="D2756" s="5" t="s">
        <v>924</v>
      </c>
      <c r="E2756" s="55" t="s">
        <v>203</v>
      </c>
      <c r="F2756" s="55"/>
      <c r="G2756" s="24">
        <v>142000</v>
      </c>
      <c r="H2756" s="24">
        <v>383997.7</v>
      </c>
      <c r="I2756" s="24">
        <f t="shared" si="135"/>
        <v>525997.7</v>
      </c>
    </row>
    <row r="2757" spans="4:9" ht="12.75">
      <c r="D2757" s="5" t="s">
        <v>925</v>
      </c>
      <c r="E2757" s="55" t="s">
        <v>884</v>
      </c>
      <c r="F2757" s="55"/>
      <c r="G2757" s="24">
        <v>2112000</v>
      </c>
      <c r="H2757" s="24">
        <v>500000</v>
      </c>
      <c r="I2757" s="24">
        <f t="shared" si="135"/>
        <v>2612000</v>
      </c>
    </row>
    <row r="2758" spans="4:9" ht="12.75">
      <c r="D2758" s="5" t="s">
        <v>754</v>
      </c>
      <c r="E2758" s="55" t="s">
        <v>212</v>
      </c>
      <c r="F2758" s="55"/>
      <c r="G2758" s="24">
        <v>317000</v>
      </c>
      <c r="H2758" s="24">
        <v>0</v>
      </c>
      <c r="I2758" s="24">
        <f t="shared" si="135"/>
        <v>317000</v>
      </c>
    </row>
    <row r="2759" spans="4:9" ht="12.75">
      <c r="D2759" s="5" t="s">
        <v>926</v>
      </c>
      <c r="E2759" s="55" t="s">
        <v>885</v>
      </c>
      <c r="F2759" s="55"/>
      <c r="G2759" s="24">
        <v>4130000</v>
      </c>
      <c r="H2759" s="24">
        <v>0</v>
      </c>
      <c r="I2759" s="24">
        <f t="shared" si="135"/>
        <v>4130000</v>
      </c>
    </row>
    <row r="2760" spans="4:9" ht="13.5" thickBot="1">
      <c r="D2760" s="5" t="s">
        <v>927</v>
      </c>
      <c r="E2760" s="55" t="s">
        <v>886</v>
      </c>
      <c r="F2760" s="55"/>
      <c r="G2760" s="24">
        <v>460000</v>
      </c>
      <c r="H2760" s="24">
        <v>0</v>
      </c>
      <c r="I2760" s="24">
        <f t="shared" si="135"/>
        <v>460000</v>
      </c>
    </row>
    <row r="2761" spans="5:9" ht="12.75">
      <c r="E2761" s="58" t="s">
        <v>346</v>
      </c>
      <c r="F2761" s="58"/>
      <c r="G2761" s="25"/>
      <c r="H2761" s="25"/>
      <c r="I2761" s="25"/>
    </row>
    <row r="2762" spans="4:9" ht="12.75">
      <c r="D2762" s="5" t="s">
        <v>772</v>
      </c>
      <c r="E2762" s="55" t="s">
        <v>773</v>
      </c>
      <c r="F2762" s="55"/>
      <c r="G2762" s="24">
        <f>SUM(G2747:G2761)</f>
        <v>237604000</v>
      </c>
      <c r="I2762" s="24">
        <f>G2762+H2762</f>
        <v>237604000</v>
      </c>
    </row>
    <row r="2763" spans="4:9" ht="12.75">
      <c r="D2763" s="5" t="s">
        <v>784</v>
      </c>
      <c r="E2763" s="55" t="s">
        <v>785</v>
      </c>
      <c r="F2763" s="55"/>
      <c r="H2763" s="24">
        <v>4150000</v>
      </c>
      <c r="I2763" s="24">
        <f>G2763+H2763</f>
        <v>4150000</v>
      </c>
    </row>
    <row r="2764" spans="4:9" ht="13.5" thickBot="1">
      <c r="D2764" s="5" t="s">
        <v>825</v>
      </c>
      <c r="E2764" s="55" t="s">
        <v>905</v>
      </c>
      <c r="F2764" s="55"/>
      <c r="H2764" s="24">
        <v>3493659.7</v>
      </c>
      <c r="I2764" s="24">
        <f>G2764+H2764</f>
        <v>3493659.7</v>
      </c>
    </row>
    <row r="2765" spans="5:9" ht="13.5" thickBot="1">
      <c r="E2765" s="56" t="s">
        <v>347</v>
      </c>
      <c r="F2765" s="56"/>
      <c r="G2765" s="26">
        <f>SUM(G2762:G2764)</f>
        <v>237604000</v>
      </c>
      <c r="H2765" s="26">
        <f>SUM(H2762:H2764)</f>
        <v>7643659.7</v>
      </c>
      <c r="I2765" s="26">
        <f>G2765+H2765</f>
        <v>245247659.7</v>
      </c>
    </row>
    <row r="2766" spans="5:9" ht="12.75">
      <c r="E2766" s="58" t="s">
        <v>407</v>
      </c>
      <c r="F2766" s="58"/>
      <c r="G2766" s="25"/>
      <c r="H2766" s="25"/>
      <c r="I2766" s="25"/>
    </row>
    <row r="2767" spans="4:9" ht="12.75">
      <c r="D2767" s="5" t="s">
        <v>772</v>
      </c>
      <c r="E2767" s="55" t="s">
        <v>773</v>
      </c>
      <c r="F2767" s="55"/>
      <c r="G2767" s="24">
        <f>+G2762</f>
        <v>237604000</v>
      </c>
      <c r="H2767" s="24">
        <v>0</v>
      </c>
      <c r="I2767" s="24">
        <f>G2767+H2767</f>
        <v>237604000</v>
      </c>
    </row>
    <row r="2768" spans="4:9" ht="12.75">
      <c r="D2768" s="5" t="s">
        <v>784</v>
      </c>
      <c r="E2768" s="55" t="s">
        <v>785</v>
      </c>
      <c r="F2768" s="55"/>
      <c r="G2768" s="24">
        <v>0</v>
      </c>
      <c r="H2768" s="24">
        <f>+H2763</f>
        <v>4150000</v>
      </c>
      <c r="I2768" s="24">
        <f>G2768+H2768</f>
        <v>4150000</v>
      </c>
    </row>
    <row r="2769" spans="4:9" ht="13.5" thickBot="1">
      <c r="D2769" s="5" t="s">
        <v>825</v>
      </c>
      <c r="E2769" s="55" t="s">
        <v>905</v>
      </c>
      <c r="F2769" s="55"/>
      <c r="G2769" s="24">
        <v>0</v>
      </c>
      <c r="H2769" s="24">
        <f>+H2764</f>
        <v>3493659.7</v>
      </c>
      <c r="I2769" s="24">
        <f>G2769+H2769</f>
        <v>3493659.7</v>
      </c>
    </row>
    <row r="2770" spans="5:9" ht="13.5" thickBot="1">
      <c r="E2770" s="56" t="s">
        <v>408</v>
      </c>
      <c r="F2770" s="56"/>
      <c r="G2770" s="26">
        <f>SUM(G2767:G2769)</f>
        <v>237604000</v>
      </c>
      <c r="H2770" s="26">
        <f>SUM(H2767:H2769)</f>
        <v>7643659.7</v>
      </c>
      <c r="I2770" s="26">
        <f>G2770+H2770</f>
        <v>245247659.7</v>
      </c>
    </row>
    <row r="2771" ht="7.5" customHeight="1"/>
    <row r="2772" spans="1:6" ht="12.75">
      <c r="A2772" s="8">
        <v>34</v>
      </c>
      <c r="B2772" s="9" t="s">
        <v>766</v>
      </c>
      <c r="C2772" s="8"/>
      <c r="D2772" s="9"/>
      <c r="E2772" s="57" t="s">
        <v>289</v>
      </c>
      <c r="F2772" s="57"/>
    </row>
    <row r="2773" spans="1:6" ht="27" customHeight="1">
      <c r="A2773" s="8"/>
      <c r="B2773" s="9"/>
      <c r="C2773" s="8" t="s">
        <v>802</v>
      </c>
      <c r="D2773" s="9"/>
      <c r="E2773" s="57" t="s">
        <v>803</v>
      </c>
      <c r="F2773" s="57"/>
    </row>
    <row r="2774" spans="4:9" ht="12.75">
      <c r="D2774" s="5" t="s">
        <v>911</v>
      </c>
      <c r="E2774" s="55" t="s">
        <v>199</v>
      </c>
      <c r="F2774" s="55"/>
      <c r="G2774" s="24">
        <v>223486000</v>
      </c>
      <c r="H2774" s="24">
        <v>0</v>
      </c>
      <c r="I2774" s="24">
        <f aca="true" t="shared" si="136" ref="I2774:I2789">G2774+H2774</f>
        <v>223486000</v>
      </c>
    </row>
    <row r="2775" spans="4:9" ht="12.75">
      <c r="D2775" s="5" t="s">
        <v>912</v>
      </c>
      <c r="E2775" s="55" t="s">
        <v>877</v>
      </c>
      <c r="F2775" s="55"/>
      <c r="G2775" s="24">
        <v>44481000</v>
      </c>
      <c r="H2775" s="24">
        <v>0</v>
      </c>
      <c r="I2775" s="24">
        <f t="shared" si="136"/>
        <v>44481000</v>
      </c>
    </row>
    <row r="2776" spans="4:9" ht="12.75">
      <c r="D2776" s="5" t="s">
        <v>918</v>
      </c>
      <c r="E2776" s="55" t="s">
        <v>878</v>
      </c>
      <c r="F2776" s="55"/>
      <c r="G2776" s="24">
        <v>13450000</v>
      </c>
      <c r="H2776" s="24">
        <v>250000</v>
      </c>
      <c r="I2776" s="24">
        <f t="shared" si="136"/>
        <v>13700000</v>
      </c>
    </row>
    <row r="2777" spans="4:9" ht="12.75">
      <c r="D2777" s="5" t="s">
        <v>921</v>
      </c>
      <c r="E2777" s="55" t="s">
        <v>880</v>
      </c>
      <c r="F2777" s="55"/>
      <c r="G2777" s="24">
        <v>23000</v>
      </c>
      <c r="H2777" s="24">
        <v>320000</v>
      </c>
      <c r="I2777" s="24">
        <f t="shared" si="136"/>
        <v>343000</v>
      </c>
    </row>
    <row r="2778" spans="4:9" ht="12.75">
      <c r="D2778" s="5" t="s">
        <v>919</v>
      </c>
      <c r="E2778" s="55" t="s">
        <v>200</v>
      </c>
      <c r="F2778" s="55"/>
      <c r="G2778" s="24">
        <v>150000</v>
      </c>
      <c r="H2778" s="24">
        <v>0</v>
      </c>
      <c r="I2778" s="24">
        <f t="shared" si="136"/>
        <v>150000</v>
      </c>
    </row>
    <row r="2779" spans="4:9" ht="12.75">
      <c r="D2779" s="5" t="s">
        <v>913</v>
      </c>
      <c r="E2779" s="55" t="s">
        <v>881</v>
      </c>
      <c r="F2779" s="55"/>
      <c r="G2779" s="24">
        <v>23000000</v>
      </c>
      <c r="H2779" s="24">
        <v>0</v>
      </c>
      <c r="I2779" s="24">
        <f t="shared" si="136"/>
        <v>23000000</v>
      </c>
    </row>
    <row r="2780" spans="4:9" ht="12.75">
      <c r="D2780" s="5" t="s">
        <v>915</v>
      </c>
      <c r="E2780" s="55" t="s">
        <v>879</v>
      </c>
      <c r="F2780" s="55"/>
      <c r="G2780" s="24">
        <v>1500000</v>
      </c>
      <c r="H2780" s="24">
        <v>2537349.56</v>
      </c>
      <c r="I2780" s="24">
        <f t="shared" si="136"/>
        <v>4037349.56</v>
      </c>
    </row>
    <row r="2781" spans="4:9" ht="12.75">
      <c r="D2781" s="5" t="s">
        <v>916</v>
      </c>
      <c r="E2781" s="55" t="s">
        <v>882</v>
      </c>
      <c r="F2781" s="55"/>
      <c r="G2781" s="24">
        <v>2998000</v>
      </c>
      <c r="H2781" s="24">
        <v>2652549.65</v>
      </c>
      <c r="I2781" s="24">
        <f t="shared" si="136"/>
        <v>5650549.65</v>
      </c>
    </row>
    <row r="2782" spans="4:9" ht="12.75">
      <c r="D2782" s="5" t="s">
        <v>923</v>
      </c>
      <c r="E2782" s="55" t="s">
        <v>883</v>
      </c>
      <c r="F2782" s="55"/>
      <c r="G2782" s="24">
        <v>4188000</v>
      </c>
      <c r="H2782" s="24">
        <v>0</v>
      </c>
      <c r="I2782" s="24">
        <f t="shared" si="136"/>
        <v>4188000</v>
      </c>
    </row>
    <row r="2783" spans="4:9" ht="12.75">
      <c r="D2783" s="5" t="s">
        <v>924</v>
      </c>
      <c r="E2783" s="55" t="s">
        <v>203</v>
      </c>
      <c r="F2783" s="55"/>
      <c r="G2783" s="24">
        <v>4400000</v>
      </c>
      <c r="H2783" s="24">
        <v>2000000</v>
      </c>
      <c r="I2783" s="24">
        <f t="shared" si="136"/>
        <v>6400000</v>
      </c>
    </row>
    <row r="2784" spans="4:9" ht="12.75">
      <c r="D2784" s="5" t="s">
        <v>925</v>
      </c>
      <c r="E2784" s="55" t="s">
        <v>884</v>
      </c>
      <c r="F2784" s="55"/>
      <c r="G2784" s="24">
        <v>7500000</v>
      </c>
      <c r="H2784" s="24">
        <v>2803740</v>
      </c>
      <c r="I2784" s="24">
        <f t="shared" si="136"/>
        <v>10303740</v>
      </c>
    </row>
    <row r="2785" spans="4:9" ht="12.75">
      <c r="D2785" s="5" t="s">
        <v>929</v>
      </c>
      <c r="E2785" s="55" t="s">
        <v>208</v>
      </c>
      <c r="F2785" s="55"/>
      <c r="G2785" s="24">
        <v>8725000</v>
      </c>
      <c r="H2785" s="24">
        <v>0</v>
      </c>
      <c r="I2785" s="24">
        <f t="shared" si="136"/>
        <v>8725000</v>
      </c>
    </row>
    <row r="2786" spans="4:9" ht="12.75">
      <c r="D2786" s="5" t="s">
        <v>754</v>
      </c>
      <c r="E2786" s="55" t="s">
        <v>212</v>
      </c>
      <c r="F2786" s="55"/>
      <c r="G2786" s="24">
        <v>1350000</v>
      </c>
      <c r="H2786" s="24">
        <v>0</v>
      </c>
      <c r="I2786" s="24">
        <f t="shared" si="136"/>
        <v>1350000</v>
      </c>
    </row>
    <row r="2787" spans="4:9" ht="12.75">
      <c r="D2787" s="5" t="s">
        <v>926</v>
      </c>
      <c r="E2787" s="55" t="s">
        <v>885</v>
      </c>
      <c r="F2787" s="55"/>
      <c r="G2787" s="24">
        <v>2714000</v>
      </c>
      <c r="H2787" s="24">
        <v>0</v>
      </c>
      <c r="I2787" s="24">
        <f t="shared" si="136"/>
        <v>2714000</v>
      </c>
    </row>
    <row r="2788" spans="4:9" ht="12.75">
      <c r="D2788" s="5" t="s">
        <v>927</v>
      </c>
      <c r="E2788" s="55" t="s">
        <v>886</v>
      </c>
      <c r="F2788" s="55"/>
      <c r="G2788" s="24">
        <v>242962000</v>
      </c>
      <c r="H2788" s="24">
        <v>3953610.47</v>
      </c>
      <c r="I2788" s="24">
        <f t="shared" si="136"/>
        <v>246915610.47</v>
      </c>
    </row>
    <row r="2789" spans="4:9" ht="13.5" thickBot="1">
      <c r="D2789" s="5" t="s">
        <v>214</v>
      </c>
      <c r="E2789" s="55" t="s">
        <v>215</v>
      </c>
      <c r="F2789" s="55"/>
      <c r="G2789" s="24">
        <v>0</v>
      </c>
      <c r="H2789" s="24">
        <v>126260</v>
      </c>
      <c r="I2789" s="24">
        <f t="shared" si="136"/>
        <v>126260</v>
      </c>
    </row>
    <row r="2790" spans="5:9" ht="12.75">
      <c r="E2790" s="58" t="s">
        <v>32</v>
      </c>
      <c r="F2790" s="58"/>
      <c r="G2790" s="25"/>
      <c r="H2790" s="25"/>
      <c r="I2790" s="25"/>
    </row>
    <row r="2791" spans="4:9" ht="12.75">
      <c r="D2791" s="5" t="s">
        <v>772</v>
      </c>
      <c r="E2791" s="55" t="s">
        <v>773</v>
      </c>
      <c r="F2791" s="55"/>
      <c r="G2791" s="24">
        <f>SUM(G2774:G2790)</f>
        <v>580927000</v>
      </c>
      <c r="I2791" s="24">
        <f aca="true" t="shared" si="137" ref="I2791:I2797">G2791+H2791</f>
        <v>580927000</v>
      </c>
    </row>
    <row r="2792" spans="4:9" ht="12.75">
      <c r="D2792" s="5" t="s">
        <v>784</v>
      </c>
      <c r="E2792" s="55" t="s">
        <v>785</v>
      </c>
      <c r="F2792" s="55"/>
      <c r="H2792" s="24">
        <v>10000000</v>
      </c>
      <c r="I2792" s="24">
        <f t="shared" si="137"/>
        <v>10000000</v>
      </c>
    </row>
    <row r="2793" spans="4:9" ht="12.75">
      <c r="D2793" s="5" t="s">
        <v>778</v>
      </c>
      <c r="E2793" s="55" t="s">
        <v>779</v>
      </c>
      <c r="F2793" s="55"/>
      <c r="H2793" s="24">
        <v>111435.59</v>
      </c>
      <c r="I2793" s="24">
        <f t="shared" si="137"/>
        <v>111435.59</v>
      </c>
    </row>
    <row r="2794" spans="4:9" ht="12.75">
      <c r="D2794" s="5" t="s">
        <v>780</v>
      </c>
      <c r="E2794" s="55" t="s">
        <v>781</v>
      </c>
      <c r="F2794" s="55"/>
      <c r="H2794" s="24">
        <v>3953610.47</v>
      </c>
      <c r="I2794" s="24">
        <f t="shared" si="137"/>
        <v>3953610.47</v>
      </c>
    </row>
    <row r="2795" spans="4:9" ht="12.75">
      <c r="D2795" s="5" t="s">
        <v>825</v>
      </c>
      <c r="E2795" s="55" t="s">
        <v>905</v>
      </c>
      <c r="F2795" s="55"/>
      <c r="H2795" s="24">
        <v>423591.81</v>
      </c>
      <c r="I2795" s="24">
        <f t="shared" si="137"/>
        <v>423591.81</v>
      </c>
    </row>
    <row r="2796" spans="4:9" ht="13.5" thickBot="1">
      <c r="D2796" s="5" t="s">
        <v>979</v>
      </c>
      <c r="E2796" s="55" t="s">
        <v>374</v>
      </c>
      <c r="F2796" s="55"/>
      <c r="H2796" s="24">
        <v>154871.81</v>
      </c>
      <c r="I2796" s="24">
        <f t="shared" si="137"/>
        <v>154871.81</v>
      </c>
    </row>
    <row r="2797" spans="5:9" ht="13.5" thickBot="1">
      <c r="E2797" s="56" t="s">
        <v>33</v>
      </c>
      <c r="F2797" s="56"/>
      <c r="G2797" s="26">
        <f>SUM(G2791:G2796)</f>
        <v>580927000</v>
      </c>
      <c r="H2797" s="26">
        <f>SUM(H2791:H2796)</f>
        <v>14643509.680000002</v>
      </c>
      <c r="I2797" s="26">
        <f t="shared" si="137"/>
        <v>595570509.68</v>
      </c>
    </row>
    <row r="2798" spans="5:9" ht="12.75">
      <c r="E2798" s="58" t="s">
        <v>409</v>
      </c>
      <c r="F2798" s="58"/>
      <c r="G2798" s="25"/>
      <c r="H2798" s="25"/>
      <c r="I2798" s="25"/>
    </row>
    <row r="2799" spans="4:9" ht="12.75">
      <c r="D2799" s="5" t="s">
        <v>772</v>
      </c>
      <c r="E2799" s="55" t="s">
        <v>773</v>
      </c>
      <c r="F2799" s="55"/>
      <c r="G2799" s="24">
        <f>+G2791</f>
        <v>580927000</v>
      </c>
      <c r="H2799" s="24">
        <v>0</v>
      </c>
      <c r="I2799" s="24">
        <f aca="true" t="shared" si="138" ref="I2799:I2805">G2799+H2799</f>
        <v>580927000</v>
      </c>
    </row>
    <row r="2800" spans="4:9" ht="12.75">
      <c r="D2800" s="5" t="s">
        <v>784</v>
      </c>
      <c r="E2800" s="55" t="s">
        <v>785</v>
      </c>
      <c r="F2800" s="55"/>
      <c r="G2800" s="24">
        <v>0</v>
      </c>
      <c r="H2800" s="24">
        <f>+H2792</f>
        <v>10000000</v>
      </c>
      <c r="I2800" s="24">
        <f t="shared" si="138"/>
        <v>10000000</v>
      </c>
    </row>
    <row r="2801" spans="4:9" ht="12.75">
      <c r="D2801" s="5" t="s">
        <v>778</v>
      </c>
      <c r="E2801" s="55" t="s">
        <v>779</v>
      </c>
      <c r="F2801" s="55"/>
      <c r="G2801" s="24">
        <v>0</v>
      </c>
      <c r="H2801" s="24">
        <f>+H2793</f>
        <v>111435.59</v>
      </c>
      <c r="I2801" s="24">
        <f t="shared" si="138"/>
        <v>111435.59</v>
      </c>
    </row>
    <row r="2802" spans="4:9" ht="12.75">
      <c r="D2802" s="5" t="s">
        <v>780</v>
      </c>
      <c r="E2802" s="55" t="s">
        <v>781</v>
      </c>
      <c r="F2802" s="55"/>
      <c r="H2802" s="24">
        <f>+H2794</f>
        <v>3953610.47</v>
      </c>
      <c r="I2802" s="24">
        <f t="shared" si="138"/>
        <v>3953610.47</v>
      </c>
    </row>
    <row r="2803" spans="4:9" ht="12.75">
      <c r="D2803" s="5" t="s">
        <v>825</v>
      </c>
      <c r="E2803" s="55" t="s">
        <v>905</v>
      </c>
      <c r="F2803" s="55"/>
      <c r="G2803" s="24">
        <v>0</v>
      </c>
      <c r="H2803" s="24">
        <f>+H2795</f>
        <v>423591.81</v>
      </c>
      <c r="I2803" s="24">
        <f t="shared" si="138"/>
        <v>423591.81</v>
      </c>
    </row>
    <row r="2804" spans="4:9" ht="13.5" thickBot="1">
      <c r="D2804" s="5" t="s">
        <v>979</v>
      </c>
      <c r="E2804" s="55" t="s">
        <v>374</v>
      </c>
      <c r="F2804" s="55"/>
      <c r="G2804" s="24">
        <v>0</v>
      </c>
      <c r="H2804" s="24">
        <f>+H2796</f>
        <v>154871.81</v>
      </c>
      <c r="I2804" s="24">
        <f t="shared" si="138"/>
        <v>154871.81</v>
      </c>
    </row>
    <row r="2805" spans="5:9" ht="13.5" thickBot="1">
      <c r="E2805" s="56" t="s">
        <v>410</v>
      </c>
      <c r="F2805" s="56"/>
      <c r="G2805" s="26">
        <f>SUM(G2799:G2804)</f>
        <v>580927000</v>
      </c>
      <c r="H2805" s="26">
        <f>SUM(H2799:H2804)</f>
        <v>14643509.680000002</v>
      </c>
      <c r="I2805" s="26">
        <f t="shared" si="138"/>
        <v>595570509.68</v>
      </c>
    </row>
    <row r="2806" ht="9" customHeight="1"/>
    <row r="2807" spans="1:6" ht="12.75">
      <c r="A2807" s="8">
        <v>35</v>
      </c>
      <c r="B2807" s="9" t="s">
        <v>766</v>
      </c>
      <c r="C2807" s="8"/>
      <c r="D2807" s="9"/>
      <c r="E2807" s="57" t="s">
        <v>290</v>
      </c>
      <c r="F2807" s="57"/>
    </row>
    <row r="2808" spans="1:6" ht="27" customHeight="1">
      <c r="A2808" s="8"/>
      <c r="B2808" s="9"/>
      <c r="C2808" s="8" t="s">
        <v>802</v>
      </c>
      <c r="D2808" s="9"/>
      <c r="E2808" s="57" t="s">
        <v>803</v>
      </c>
      <c r="F2808" s="57"/>
    </row>
    <row r="2809" spans="4:9" ht="12.75">
      <c r="D2809" s="5" t="s">
        <v>911</v>
      </c>
      <c r="E2809" s="55" t="s">
        <v>199</v>
      </c>
      <c r="F2809" s="55"/>
      <c r="G2809" s="24">
        <v>618915000</v>
      </c>
      <c r="H2809" s="24">
        <v>91708000</v>
      </c>
      <c r="I2809" s="24">
        <f aca="true" t="shared" si="139" ref="I2809:I2825">G2809+H2809</f>
        <v>710623000</v>
      </c>
    </row>
    <row r="2810" spans="4:9" ht="12.75">
      <c r="D2810" s="5" t="s">
        <v>912</v>
      </c>
      <c r="E2810" s="55" t="s">
        <v>877</v>
      </c>
      <c r="F2810" s="55"/>
      <c r="G2810" s="24">
        <v>110778000</v>
      </c>
      <c r="H2810" s="24">
        <v>17793000</v>
      </c>
      <c r="I2810" s="24">
        <f t="shared" si="139"/>
        <v>128571000</v>
      </c>
    </row>
    <row r="2811" spans="4:9" ht="12.75">
      <c r="D2811" s="5" t="s">
        <v>918</v>
      </c>
      <c r="E2811" s="55" t="s">
        <v>878</v>
      </c>
      <c r="F2811" s="55"/>
      <c r="G2811" s="24">
        <v>0</v>
      </c>
      <c r="H2811" s="24">
        <v>2175000</v>
      </c>
      <c r="I2811" s="24">
        <f t="shared" si="139"/>
        <v>2175000</v>
      </c>
    </row>
    <row r="2812" spans="4:9" ht="12.75">
      <c r="D2812" s="5" t="s">
        <v>921</v>
      </c>
      <c r="E2812" s="55" t="s">
        <v>880</v>
      </c>
      <c r="F2812" s="55"/>
      <c r="G2812" s="24">
        <v>0</v>
      </c>
      <c r="H2812" s="24">
        <v>10350000</v>
      </c>
      <c r="I2812" s="24">
        <f t="shared" si="139"/>
        <v>10350000</v>
      </c>
    </row>
    <row r="2813" spans="4:9" ht="12.75">
      <c r="D2813" s="5" t="s">
        <v>919</v>
      </c>
      <c r="E2813" s="55" t="s">
        <v>200</v>
      </c>
      <c r="F2813" s="55"/>
      <c r="G2813" s="24">
        <v>0</v>
      </c>
      <c r="H2813" s="24">
        <v>20000000</v>
      </c>
      <c r="I2813" s="24">
        <f t="shared" si="139"/>
        <v>20000000</v>
      </c>
    </row>
    <row r="2814" spans="4:9" ht="12.75">
      <c r="D2814" s="5" t="s">
        <v>922</v>
      </c>
      <c r="E2814" s="55" t="s">
        <v>201</v>
      </c>
      <c r="F2814" s="55"/>
      <c r="G2814" s="24">
        <v>0</v>
      </c>
      <c r="H2814" s="24">
        <v>1500000</v>
      </c>
      <c r="I2814" s="24">
        <f t="shared" si="139"/>
        <v>1500000</v>
      </c>
    </row>
    <row r="2815" spans="4:9" ht="12.75">
      <c r="D2815" s="5" t="s">
        <v>913</v>
      </c>
      <c r="E2815" s="55" t="s">
        <v>881</v>
      </c>
      <c r="F2815" s="55"/>
      <c r="G2815" s="24">
        <v>167000</v>
      </c>
      <c r="H2815" s="24">
        <v>77412000</v>
      </c>
      <c r="I2815" s="24">
        <f t="shared" si="139"/>
        <v>77579000</v>
      </c>
    </row>
    <row r="2816" spans="4:9" ht="12.75">
      <c r="D2816" s="5" t="s">
        <v>915</v>
      </c>
      <c r="E2816" s="55" t="s">
        <v>879</v>
      </c>
      <c r="F2816" s="55"/>
      <c r="G2816" s="24">
        <v>0</v>
      </c>
      <c r="H2816" s="24">
        <v>17150000</v>
      </c>
      <c r="I2816" s="24">
        <f t="shared" si="139"/>
        <v>17150000</v>
      </c>
    </row>
    <row r="2817" spans="4:9" ht="12.75">
      <c r="D2817" s="5" t="s">
        <v>916</v>
      </c>
      <c r="E2817" s="55" t="s">
        <v>882</v>
      </c>
      <c r="F2817" s="55"/>
      <c r="G2817" s="24">
        <v>11718000</v>
      </c>
      <c r="H2817" s="24">
        <v>184130000</v>
      </c>
      <c r="I2817" s="24">
        <f t="shared" si="139"/>
        <v>195848000</v>
      </c>
    </row>
    <row r="2818" spans="4:9" ht="12.75">
      <c r="D2818" s="5" t="s">
        <v>923</v>
      </c>
      <c r="E2818" s="55" t="s">
        <v>883</v>
      </c>
      <c r="F2818" s="55"/>
      <c r="G2818" s="24">
        <v>0</v>
      </c>
      <c r="H2818" s="24">
        <v>500000</v>
      </c>
      <c r="I2818" s="24">
        <f t="shared" si="139"/>
        <v>500000</v>
      </c>
    </row>
    <row r="2819" spans="4:9" ht="12.75">
      <c r="D2819" s="5" t="s">
        <v>924</v>
      </c>
      <c r="E2819" s="55" t="s">
        <v>203</v>
      </c>
      <c r="F2819" s="55"/>
      <c r="G2819" s="24">
        <v>0</v>
      </c>
      <c r="H2819" s="24">
        <v>29250000</v>
      </c>
      <c r="I2819" s="24">
        <f t="shared" si="139"/>
        <v>29250000</v>
      </c>
    </row>
    <row r="2820" spans="4:9" ht="12.75">
      <c r="D2820" s="5" t="s">
        <v>925</v>
      </c>
      <c r="E2820" s="55" t="s">
        <v>884</v>
      </c>
      <c r="F2820" s="55"/>
      <c r="G2820" s="24">
        <v>300000</v>
      </c>
      <c r="H2820" s="24">
        <v>56663000</v>
      </c>
      <c r="I2820" s="24">
        <f t="shared" si="139"/>
        <v>56963000</v>
      </c>
    </row>
    <row r="2821" spans="4:9" ht="12.75">
      <c r="D2821" s="5" t="s">
        <v>754</v>
      </c>
      <c r="E2821" s="55" t="s">
        <v>212</v>
      </c>
      <c r="F2821" s="55"/>
      <c r="G2821" s="24">
        <v>0</v>
      </c>
      <c r="H2821" s="24">
        <v>4250000</v>
      </c>
      <c r="I2821" s="24">
        <f t="shared" si="139"/>
        <v>4250000</v>
      </c>
    </row>
    <row r="2822" spans="4:9" ht="12.75">
      <c r="D2822" s="5" t="s">
        <v>755</v>
      </c>
      <c r="E2822" s="55" t="s">
        <v>213</v>
      </c>
      <c r="F2822" s="55"/>
      <c r="G2822" s="24">
        <v>0</v>
      </c>
      <c r="H2822" s="24">
        <v>825000</v>
      </c>
      <c r="I2822" s="24">
        <f t="shared" si="139"/>
        <v>825000</v>
      </c>
    </row>
    <row r="2823" spans="4:9" ht="12.75">
      <c r="D2823" s="5" t="s">
        <v>926</v>
      </c>
      <c r="E2823" s="55" t="s">
        <v>885</v>
      </c>
      <c r="F2823" s="55"/>
      <c r="G2823" s="24">
        <v>690000</v>
      </c>
      <c r="H2823" s="24">
        <v>36075000</v>
      </c>
      <c r="I2823" s="24">
        <f t="shared" si="139"/>
        <v>36765000</v>
      </c>
    </row>
    <row r="2824" spans="4:9" ht="12.75">
      <c r="D2824" s="5" t="s">
        <v>927</v>
      </c>
      <c r="E2824" s="55" t="s">
        <v>886</v>
      </c>
      <c r="F2824" s="55"/>
      <c r="G2824" s="24">
        <v>759000</v>
      </c>
      <c r="H2824" s="24">
        <v>55845000</v>
      </c>
      <c r="I2824" s="24">
        <f t="shared" si="139"/>
        <v>56604000</v>
      </c>
    </row>
    <row r="2825" spans="4:9" ht="13.5" thickBot="1">
      <c r="D2825" s="5" t="s">
        <v>214</v>
      </c>
      <c r="E2825" s="55" t="s">
        <v>215</v>
      </c>
      <c r="F2825" s="55"/>
      <c r="G2825" s="24">
        <v>0</v>
      </c>
      <c r="H2825" s="24">
        <v>36338000</v>
      </c>
      <c r="I2825" s="24">
        <f t="shared" si="139"/>
        <v>36338000</v>
      </c>
    </row>
    <row r="2826" spans="5:9" ht="12.75">
      <c r="E2826" s="58" t="s">
        <v>32</v>
      </c>
      <c r="F2826" s="58"/>
      <c r="G2826" s="25"/>
      <c r="H2826" s="25"/>
      <c r="I2826" s="25"/>
    </row>
    <row r="2827" spans="4:9" ht="12.75">
      <c r="D2827" s="5" t="s">
        <v>772</v>
      </c>
      <c r="E2827" s="55" t="s">
        <v>773</v>
      </c>
      <c r="F2827" s="55"/>
      <c r="G2827" s="24">
        <f>SUM(G2809:G2826)</f>
        <v>743327000</v>
      </c>
      <c r="I2827" s="24">
        <f>G2827+H2827</f>
        <v>743327000</v>
      </c>
    </row>
    <row r="2828" spans="4:9" ht="12.75">
      <c r="D2828" s="5" t="s">
        <v>784</v>
      </c>
      <c r="E2828" s="55" t="s">
        <v>785</v>
      </c>
      <c r="F2828" s="55"/>
      <c r="H2828" s="24">
        <v>593119000</v>
      </c>
      <c r="I2828" s="24">
        <f>G2828+H2828</f>
        <v>593119000</v>
      </c>
    </row>
    <row r="2829" spans="4:9" ht="12.75">
      <c r="D2829" s="5" t="s">
        <v>790</v>
      </c>
      <c r="E2829" s="55" t="s">
        <v>791</v>
      </c>
      <c r="F2829" s="55"/>
      <c r="H2829" s="24">
        <v>18845000</v>
      </c>
      <c r="I2829" s="24">
        <f>G2829+H2829</f>
        <v>18845000</v>
      </c>
    </row>
    <row r="2830" spans="4:9" ht="13.5" thickBot="1">
      <c r="D2830" s="5" t="s">
        <v>825</v>
      </c>
      <c r="E2830" s="55" t="s">
        <v>905</v>
      </c>
      <c r="F2830" s="55"/>
      <c r="H2830" s="24">
        <v>30000000</v>
      </c>
      <c r="I2830" s="24">
        <f>G2830+H2830</f>
        <v>30000000</v>
      </c>
    </row>
    <row r="2831" spans="5:9" ht="13.5" thickBot="1">
      <c r="E2831" s="56" t="s">
        <v>33</v>
      </c>
      <c r="F2831" s="56"/>
      <c r="G2831" s="26">
        <f>SUM(G2827:G2830)</f>
        <v>743327000</v>
      </c>
      <c r="H2831" s="26">
        <f>SUM(H2827:H2830)</f>
        <v>641964000</v>
      </c>
      <c r="I2831" s="26">
        <f>G2831+H2831</f>
        <v>1385291000</v>
      </c>
    </row>
    <row r="2832" spans="5:9" ht="12.75">
      <c r="E2832" s="58" t="s">
        <v>411</v>
      </c>
      <c r="F2832" s="58"/>
      <c r="G2832" s="25"/>
      <c r="H2832" s="25"/>
      <c r="I2832" s="25"/>
    </row>
    <row r="2833" spans="4:9" ht="12.75">
      <c r="D2833" s="5" t="s">
        <v>772</v>
      </c>
      <c r="E2833" s="55" t="s">
        <v>773</v>
      </c>
      <c r="F2833" s="55"/>
      <c r="G2833" s="24">
        <f>+G2827</f>
        <v>743327000</v>
      </c>
      <c r="H2833" s="24">
        <v>0</v>
      </c>
      <c r="I2833" s="24">
        <f>G2833+H2833</f>
        <v>743327000</v>
      </c>
    </row>
    <row r="2834" spans="4:9" ht="12.75">
      <c r="D2834" s="5" t="s">
        <v>784</v>
      </c>
      <c r="E2834" s="55" t="s">
        <v>785</v>
      </c>
      <c r="F2834" s="55"/>
      <c r="G2834" s="24">
        <v>0</v>
      </c>
      <c r="H2834" s="24">
        <f>+H2828</f>
        <v>593119000</v>
      </c>
      <c r="I2834" s="24">
        <f>G2834+H2834</f>
        <v>593119000</v>
      </c>
    </row>
    <row r="2835" spans="4:9" ht="12.75">
      <c r="D2835" s="5" t="s">
        <v>790</v>
      </c>
      <c r="E2835" s="55" t="s">
        <v>791</v>
      </c>
      <c r="F2835" s="55"/>
      <c r="G2835" s="24">
        <v>0</v>
      </c>
      <c r="H2835" s="24">
        <f>+H2829</f>
        <v>18845000</v>
      </c>
      <c r="I2835" s="24">
        <f>G2835+H2835</f>
        <v>18845000</v>
      </c>
    </row>
    <row r="2836" spans="4:9" ht="13.5" thickBot="1">
      <c r="D2836" s="5" t="s">
        <v>825</v>
      </c>
      <c r="E2836" s="55" t="s">
        <v>905</v>
      </c>
      <c r="F2836" s="55"/>
      <c r="G2836" s="24">
        <v>0</v>
      </c>
      <c r="H2836" s="24">
        <f>+H2830</f>
        <v>30000000</v>
      </c>
      <c r="I2836" s="24">
        <f>G2836+H2836</f>
        <v>30000000</v>
      </c>
    </row>
    <row r="2837" spans="5:9" ht="13.5" thickBot="1">
      <c r="E2837" s="56" t="s">
        <v>412</v>
      </c>
      <c r="F2837" s="56"/>
      <c r="G2837" s="26">
        <f>SUM(G2833:G2836)</f>
        <v>743327000</v>
      </c>
      <c r="H2837" s="26">
        <f>SUM(H2833:H2836)</f>
        <v>641964000</v>
      </c>
      <c r="I2837" s="26">
        <f>G2837+H2837</f>
        <v>1385291000</v>
      </c>
    </row>
    <row r="2839" spans="1:6" ht="12.75">
      <c r="A2839" s="8">
        <v>36</v>
      </c>
      <c r="B2839" s="9" t="s">
        <v>766</v>
      </c>
      <c r="C2839" s="8"/>
      <c r="D2839" s="9"/>
      <c r="E2839" s="57" t="s">
        <v>291</v>
      </c>
      <c r="F2839" s="57"/>
    </row>
    <row r="2840" spans="1:6" ht="28.5" customHeight="1">
      <c r="A2840" s="8"/>
      <c r="B2840" s="9"/>
      <c r="C2840" s="8" t="s">
        <v>802</v>
      </c>
      <c r="D2840" s="9"/>
      <c r="E2840" s="57" t="s">
        <v>803</v>
      </c>
      <c r="F2840" s="57"/>
    </row>
    <row r="2841" spans="4:9" ht="12.75">
      <c r="D2841" s="5" t="s">
        <v>911</v>
      </c>
      <c r="E2841" s="55" t="s">
        <v>199</v>
      </c>
      <c r="F2841" s="55"/>
      <c r="G2841" s="24">
        <v>6749000</v>
      </c>
      <c r="H2841" s="24">
        <v>0</v>
      </c>
      <c r="I2841" s="24">
        <f aca="true" t="shared" si="140" ref="I2841:I2852">G2841+H2841</f>
        <v>6749000</v>
      </c>
    </row>
    <row r="2842" spans="4:9" ht="12.75">
      <c r="D2842" s="5" t="s">
        <v>912</v>
      </c>
      <c r="E2842" s="55" t="s">
        <v>877</v>
      </c>
      <c r="F2842" s="55"/>
      <c r="G2842" s="24">
        <v>1238000</v>
      </c>
      <c r="H2842" s="24">
        <v>0</v>
      </c>
      <c r="I2842" s="24">
        <f t="shared" si="140"/>
        <v>1238000</v>
      </c>
    </row>
    <row r="2843" spans="4:9" ht="12.75">
      <c r="D2843" s="5" t="s">
        <v>921</v>
      </c>
      <c r="E2843" s="55" t="s">
        <v>880</v>
      </c>
      <c r="F2843" s="55"/>
      <c r="G2843" s="24">
        <v>10000</v>
      </c>
      <c r="H2843" s="24">
        <v>12000</v>
      </c>
      <c r="I2843" s="24">
        <f t="shared" si="140"/>
        <v>22000</v>
      </c>
    </row>
    <row r="2844" spans="4:9" ht="12.75">
      <c r="D2844" s="5" t="s">
        <v>919</v>
      </c>
      <c r="E2844" s="55" t="s">
        <v>200</v>
      </c>
      <c r="F2844" s="55"/>
      <c r="G2844" s="24">
        <v>122000</v>
      </c>
      <c r="H2844" s="24">
        <v>0</v>
      </c>
      <c r="I2844" s="24">
        <f t="shared" si="140"/>
        <v>122000</v>
      </c>
    </row>
    <row r="2845" spans="4:9" ht="12.75">
      <c r="D2845" s="5" t="s">
        <v>922</v>
      </c>
      <c r="E2845" s="55" t="s">
        <v>201</v>
      </c>
      <c r="F2845" s="55"/>
      <c r="G2845" s="24">
        <v>0</v>
      </c>
      <c r="H2845" s="24">
        <v>25000</v>
      </c>
      <c r="I2845" s="24">
        <f t="shared" si="140"/>
        <v>25000</v>
      </c>
    </row>
    <row r="2846" spans="4:9" ht="12.75">
      <c r="D2846" s="5" t="s">
        <v>913</v>
      </c>
      <c r="E2846" s="55" t="s">
        <v>881</v>
      </c>
      <c r="F2846" s="55"/>
      <c r="G2846" s="24">
        <v>1184000</v>
      </c>
      <c r="H2846" s="24">
        <v>500</v>
      </c>
      <c r="I2846" s="24">
        <f t="shared" si="140"/>
        <v>1184500</v>
      </c>
    </row>
    <row r="2847" spans="4:9" ht="12.75">
      <c r="D2847" s="5" t="s">
        <v>915</v>
      </c>
      <c r="E2847" s="55" t="s">
        <v>879</v>
      </c>
      <c r="F2847" s="55"/>
      <c r="G2847" s="24">
        <v>140000</v>
      </c>
      <c r="H2847" s="24">
        <v>89591.9</v>
      </c>
      <c r="I2847" s="24">
        <f t="shared" si="140"/>
        <v>229591.9</v>
      </c>
    </row>
    <row r="2848" spans="4:9" ht="12.75">
      <c r="D2848" s="5" t="s">
        <v>916</v>
      </c>
      <c r="E2848" s="55" t="s">
        <v>882</v>
      </c>
      <c r="F2848" s="55"/>
      <c r="G2848" s="24">
        <v>72000</v>
      </c>
      <c r="H2848" s="24">
        <v>83400</v>
      </c>
      <c r="I2848" s="24">
        <f t="shared" si="140"/>
        <v>155400</v>
      </c>
    </row>
    <row r="2849" spans="4:9" ht="12.75">
      <c r="D2849" s="5" t="s">
        <v>923</v>
      </c>
      <c r="E2849" s="55" t="s">
        <v>883</v>
      </c>
      <c r="F2849" s="55"/>
      <c r="G2849" s="24">
        <v>18000</v>
      </c>
      <c r="H2849" s="24">
        <v>12000</v>
      </c>
      <c r="I2849" s="24">
        <f t="shared" si="140"/>
        <v>30000</v>
      </c>
    </row>
    <row r="2850" spans="4:9" ht="12.75">
      <c r="D2850" s="5" t="s">
        <v>924</v>
      </c>
      <c r="E2850" s="55" t="s">
        <v>203</v>
      </c>
      <c r="F2850" s="55"/>
      <c r="G2850" s="24">
        <v>160000</v>
      </c>
      <c r="H2850" s="24">
        <v>50500</v>
      </c>
      <c r="I2850" s="24">
        <f t="shared" si="140"/>
        <v>210500</v>
      </c>
    </row>
    <row r="2851" spans="4:9" ht="12.75">
      <c r="D2851" s="5" t="s">
        <v>925</v>
      </c>
      <c r="E2851" s="55" t="s">
        <v>884</v>
      </c>
      <c r="F2851" s="55"/>
      <c r="G2851" s="24">
        <v>160000</v>
      </c>
      <c r="H2851" s="24">
        <v>8000</v>
      </c>
      <c r="I2851" s="24">
        <f t="shared" si="140"/>
        <v>168000</v>
      </c>
    </row>
    <row r="2852" spans="4:9" ht="12.75">
      <c r="D2852" s="5" t="s">
        <v>754</v>
      </c>
      <c r="E2852" s="55" t="s">
        <v>212</v>
      </c>
      <c r="F2852" s="55"/>
      <c r="G2852" s="24">
        <v>28000</v>
      </c>
      <c r="H2852" s="24">
        <v>20100</v>
      </c>
      <c r="I2852" s="24">
        <f t="shared" si="140"/>
        <v>48100</v>
      </c>
    </row>
    <row r="2853" spans="4:8" ht="12.75">
      <c r="D2853" s="5" t="s">
        <v>926</v>
      </c>
      <c r="E2853" s="55" t="s">
        <v>885</v>
      </c>
      <c r="F2853" s="55"/>
      <c r="H2853" s="24">
        <v>230000</v>
      </c>
    </row>
    <row r="2854" spans="4:9" ht="12.75">
      <c r="D2854" s="5" t="s">
        <v>927</v>
      </c>
      <c r="E2854" s="55" t="s">
        <v>886</v>
      </c>
      <c r="F2854" s="55"/>
      <c r="G2854" s="24">
        <v>513000</v>
      </c>
      <c r="H2854" s="24">
        <v>18500</v>
      </c>
      <c r="I2854" s="24">
        <f>G2854+H2854</f>
        <v>531500</v>
      </c>
    </row>
    <row r="2855" spans="4:8" ht="13.5" thickBot="1">
      <c r="D2855" s="5" t="s">
        <v>214</v>
      </c>
      <c r="E2855" s="55" t="s">
        <v>215</v>
      </c>
      <c r="F2855" s="55"/>
      <c r="H2855" s="24">
        <v>10000</v>
      </c>
    </row>
    <row r="2856" spans="5:9" ht="12.75">
      <c r="E2856" s="58" t="s">
        <v>32</v>
      </c>
      <c r="F2856" s="58"/>
      <c r="G2856" s="25"/>
      <c r="H2856" s="25"/>
      <c r="I2856" s="25"/>
    </row>
    <row r="2857" spans="4:9" ht="12.75">
      <c r="D2857" s="5" t="s">
        <v>772</v>
      </c>
      <c r="E2857" s="55" t="s">
        <v>773</v>
      </c>
      <c r="F2857" s="55"/>
      <c r="G2857" s="24">
        <f>SUM(G2841:G2856)</f>
        <v>10394000</v>
      </c>
      <c r="I2857" s="24">
        <f>G2857+H2857</f>
        <v>10394000</v>
      </c>
    </row>
    <row r="2858" spans="4:9" ht="12.75">
      <c r="D2858" s="5" t="s">
        <v>784</v>
      </c>
      <c r="E2858" s="55" t="s">
        <v>785</v>
      </c>
      <c r="F2858" s="55"/>
      <c r="H2858" s="24">
        <v>551000</v>
      </c>
      <c r="I2858" s="24">
        <f>G2858+H2858</f>
        <v>551000</v>
      </c>
    </row>
    <row r="2859" spans="4:9" ht="13.5" thickBot="1">
      <c r="D2859" s="5" t="s">
        <v>825</v>
      </c>
      <c r="E2859" s="55" t="s">
        <v>905</v>
      </c>
      <c r="F2859" s="55"/>
      <c r="H2859" s="24">
        <v>8591.9</v>
      </c>
      <c r="I2859" s="24">
        <f>G2859+H2859</f>
        <v>8591.9</v>
      </c>
    </row>
    <row r="2860" spans="5:9" ht="13.5" thickBot="1">
      <c r="E2860" s="56" t="s">
        <v>33</v>
      </c>
      <c r="F2860" s="56"/>
      <c r="G2860" s="26">
        <f>SUM(G2857:G2859)</f>
        <v>10394000</v>
      </c>
      <c r="H2860" s="26">
        <f>SUM(H2857:H2859)</f>
        <v>559591.9</v>
      </c>
      <c r="I2860" s="26">
        <f>G2860+H2860</f>
        <v>10953591.9</v>
      </c>
    </row>
    <row r="2861" spans="5:9" ht="12.75">
      <c r="E2861" s="58" t="s">
        <v>415</v>
      </c>
      <c r="F2861" s="58"/>
      <c r="G2861" s="25"/>
      <c r="H2861" s="25"/>
      <c r="I2861" s="25"/>
    </row>
    <row r="2862" spans="4:9" ht="12.75">
      <c r="D2862" s="5" t="s">
        <v>772</v>
      </c>
      <c r="E2862" s="55" t="s">
        <v>773</v>
      </c>
      <c r="F2862" s="55"/>
      <c r="G2862" s="24">
        <f>+G2857</f>
        <v>10394000</v>
      </c>
      <c r="H2862" s="24">
        <v>0</v>
      </c>
      <c r="I2862" s="24">
        <f>G2862+H2862</f>
        <v>10394000</v>
      </c>
    </row>
    <row r="2863" spans="4:9" ht="12.75">
      <c r="D2863" s="5" t="s">
        <v>784</v>
      </c>
      <c r="E2863" s="55" t="s">
        <v>785</v>
      </c>
      <c r="F2863" s="55"/>
      <c r="G2863" s="24">
        <v>0</v>
      </c>
      <c r="H2863" s="24">
        <f>+H2858</f>
        <v>551000</v>
      </c>
      <c r="I2863" s="24">
        <f>G2863+H2863</f>
        <v>551000</v>
      </c>
    </row>
    <row r="2864" spans="4:9" ht="13.5" thickBot="1">
      <c r="D2864" s="5" t="s">
        <v>825</v>
      </c>
      <c r="E2864" s="55" t="s">
        <v>905</v>
      </c>
      <c r="F2864" s="55"/>
      <c r="G2864" s="24">
        <v>0</v>
      </c>
      <c r="H2864" s="24">
        <f>+H2859</f>
        <v>8591.9</v>
      </c>
      <c r="I2864" s="24">
        <f>G2864+H2864</f>
        <v>8591.9</v>
      </c>
    </row>
    <row r="2865" spans="5:9" ht="13.5" thickBot="1">
      <c r="E2865" s="56" t="s">
        <v>416</v>
      </c>
      <c r="F2865" s="56"/>
      <c r="G2865" s="26">
        <f>SUM(G2862:G2864)</f>
        <v>10394000</v>
      </c>
      <c r="H2865" s="26">
        <f>SUM(H2862:H2864)</f>
        <v>559591.9</v>
      </c>
      <c r="I2865" s="26">
        <f>G2865+H2865</f>
        <v>10953591.9</v>
      </c>
    </row>
    <row r="2867" spans="1:6" ht="12.75">
      <c r="A2867" s="8">
        <v>37</v>
      </c>
      <c r="B2867" s="9" t="s">
        <v>766</v>
      </c>
      <c r="C2867" s="8"/>
      <c r="D2867" s="9"/>
      <c r="E2867" s="57" t="s">
        <v>292</v>
      </c>
      <c r="F2867" s="57"/>
    </row>
    <row r="2868" spans="1:6" ht="12.75">
      <c r="A2868" s="8"/>
      <c r="B2868" s="9"/>
      <c r="C2868" s="8" t="s">
        <v>770</v>
      </c>
      <c r="D2868" s="9"/>
      <c r="E2868" s="57" t="s">
        <v>771</v>
      </c>
      <c r="F2868" s="57"/>
    </row>
    <row r="2869" spans="4:9" ht="12.75">
      <c r="D2869" s="5" t="s">
        <v>911</v>
      </c>
      <c r="E2869" s="55" t="s">
        <v>199</v>
      </c>
      <c r="F2869" s="55"/>
      <c r="G2869" s="24">
        <v>28660000</v>
      </c>
      <c r="H2869" s="24">
        <v>0</v>
      </c>
      <c r="I2869" s="24">
        <f aca="true" t="shared" si="141" ref="I2869:I2880">G2869+H2869</f>
        <v>28660000</v>
      </c>
    </row>
    <row r="2870" spans="4:9" ht="12.75">
      <c r="D2870" s="5" t="s">
        <v>912</v>
      </c>
      <c r="E2870" s="55" t="s">
        <v>877</v>
      </c>
      <c r="F2870" s="55"/>
      <c r="G2870" s="24">
        <v>5130000</v>
      </c>
      <c r="H2870" s="24">
        <v>0</v>
      </c>
      <c r="I2870" s="24">
        <f t="shared" si="141"/>
        <v>5130000</v>
      </c>
    </row>
    <row r="2871" spans="4:9" ht="12.75">
      <c r="D2871" s="5" t="s">
        <v>918</v>
      </c>
      <c r="E2871" s="55" t="s">
        <v>878</v>
      </c>
      <c r="F2871" s="55"/>
      <c r="G2871" s="24">
        <v>10000</v>
      </c>
      <c r="H2871" s="24">
        <v>0</v>
      </c>
      <c r="I2871" s="24">
        <f t="shared" si="141"/>
        <v>10000</v>
      </c>
    </row>
    <row r="2872" spans="4:9" ht="12.75">
      <c r="D2872" s="5" t="s">
        <v>921</v>
      </c>
      <c r="E2872" s="55" t="s">
        <v>880</v>
      </c>
      <c r="F2872" s="55"/>
      <c r="G2872" s="24">
        <v>223000</v>
      </c>
      <c r="H2872" s="24">
        <v>0</v>
      </c>
      <c r="I2872" s="24">
        <f t="shared" si="141"/>
        <v>223000</v>
      </c>
    </row>
    <row r="2873" spans="4:9" ht="12.75">
      <c r="D2873" s="5" t="s">
        <v>919</v>
      </c>
      <c r="E2873" s="55" t="s">
        <v>200</v>
      </c>
      <c r="F2873" s="55"/>
      <c r="G2873" s="24">
        <v>650000</v>
      </c>
      <c r="H2873" s="24">
        <v>0</v>
      </c>
      <c r="I2873" s="24">
        <f t="shared" si="141"/>
        <v>650000</v>
      </c>
    </row>
    <row r="2874" spans="4:9" ht="12.75">
      <c r="D2874" s="5" t="s">
        <v>913</v>
      </c>
      <c r="E2874" s="55" t="s">
        <v>881</v>
      </c>
      <c r="F2874" s="55"/>
      <c r="G2874" s="24">
        <v>4213000</v>
      </c>
      <c r="H2874" s="24">
        <v>18000000</v>
      </c>
      <c r="I2874" s="24">
        <f t="shared" si="141"/>
        <v>22213000</v>
      </c>
    </row>
    <row r="2875" spans="4:9" ht="12.75">
      <c r="D2875" s="5" t="s">
        <v>915</v>
      </c>
      <c r="E2875" s="55" t="s">
        <v>879</v>
      </c>
      <c r="F2875" s="55"/>
      <c r="G2875" s="24">
        <v>418000</v>
      </c>
      <c r="H2875" s="24">
        <v>0</v>
      </c>
      <c r="I2875" s="24">
        <f t="shared" si="141"/>
        <v>418000</v>
      </c>
    </row>
    <row r="2876" spans="4:9" ht="12.75">
      <c r="D2876" s="5" t="s">
        <v>916</v>
      </c>
      <c r="E2876" s="55" t="s">
        <v>882</v>
      </c>
      <c r="F2876" s="55"/>
      <c r="G2876" s="24">
        <v>5029000</v>
      </c>
      <c r="H2876" s="24">
        <v>7250000</v>
      </c>
      <c r="I2876" s="24">
        <f t="shared" si="141"/>
        <v>12279000</v>
      </c>
    </row>
    <row r="2877" spans="4:9" ht="12.75">
      <c r="D2877" s="5" t="s">
        <v>924</v>
      </c>
      <c r="E2877" s="55" t="s">
        <v>203</v>
      </c>
      <c r="F2877" s="55"/>
      <c r="G2877" s="24">
        <v>186000</v>
      </c>
      <c r="H2877" s="24">
        <v>29750000</v>
      </c>
      <c r="I2877" s="24">
        <f t="shared" si="141"/>
        <v>29936000</v>
      </c>
    </row>
    <row r="2878" spans="4:9" ht="12.75">
      <c r="D2878" s="5" t="s">
        <v>925</v>
      </c>
      <c r="E2878" s="55" t="s">
        <v>884</v>
      </c>
      <c r="F2878" s="55"/>
      <c r="G2878" s="24">
        <v>668000</v>
      </c>
      <c r="H2878" s="24">
        <v>0</v>
      </c>
      <c r="I2878" s="24">
        <f t="shared" si="141"/>
        <v>668000</v>
      </c>
    </row>
    <row r="2879" spans="4:9" ht="12.75">
      <c r="D2879" s="5" t="s">
        <v>754</v>
      </c>
      <c r="E2879" s="55" t="s">
        <v>212</v>
      </c>
      <c r="F2879" s="55"/>
      <c r="G2879" s="24">
        <v>50000000</v>
      </c>
      <c r="H2879" s="24">
        <v>0</v>
      </c>
      <c r="I2879" s="24">
        <f t="shared" si="141"/>
        <v>50000000</v>
      </c>
    </row>
    <row r="2880" spans="4:9" ht="13.5" thickBot="1">
      <c r="D2880" s="5" t="s">
        <v>926</v>
      </c>
      <c r="E2880" s="55" t="s">
        <v>885</v>
      </c>
      <c r="F2880" s="55"/>
      <c r="G2880" s="24">
        <v>39500000</v>
      </c>
      <c r="H2880" s="24">
        <v>152500000</v>
      </c>
      <c r="I2880" s="24">
        <f t="shared" si="141"/>
        <v>192000000</v>
      </c>
    </row>
    <row r="2881" spans="5:9" ht="12.75">
      <c r="E2881" s="58" t="s">
        <v>346</v>
      </c>
      <c r="F2881" s="58"/>
      <c r="G2881" s="25"/>
      <c r="H2881" s="25"/>
      <c r="I2881" s="25"/>
    </row>
    <row r="2882" spans="4:9" ht="12.75">
      <c r="D2882" s="5" t="s">
        <v>772</v>
      </c>
      <c r="E2882" s="55" t="s">
        <v>773</v>
      </c>
      <c r="F2882" s="55"/>
      <c r="G2882" s="24">
        <f>SUM(G2869:G2881)</f>
        <v>134687000</v>
      </c>
      <c r="I2882" s="24">
        <f>G2882+H2882</f>
        <v>134687000</v>
      </c>
    </row>
    <row r="2883" spans="4:9" ht="13.5" thickBot="1">
      <c r="D2883" s="5" t="s">
        <v>784</v>
      </c>
      <c r="E2883" s="55" t="s">
        <v>785</v>
      </c>
      <c r="F2883" s="55"/>
      <c r="H2883" s="24">
        <f>SUM(H2869:H2882)</f>
        <v>207500000</v>
      </c>
      <c r="I2883" s="24">
        <f>G2883+H2883</f>
        <v>207500000</v>
      </c>
    </row>
    <row r="2884" spans="5:9" ht="13.5" thickBot="1">
      <c r="E2884" s="56" t="s">
        <v>347</v>
      </c>
      <c r="F2884" s="56"/>
      <c r="G2884" s="26">
        <f>SUM(G2882:G2883)</f>
        <v>134687000</v>
      </c>
      <c r="H2884" s="26">
        <f>SUM(H2882:H2883)</f>
        <v>207500000</v>
      </c>
      <c r="I2884" s="26">
        <f>G2884+H2884</f>
        <v>342187000</v>
      </c>
    </row>
    <row r="2885" spans="5:9" ht="12.75">
      <c r="E2885" s="58" t="s">
        <v>417</v>
      </c>
      <c r="F2885" s="58"/>
      <c r="G2885" s="25"/>
      <c r="H2885" s="25"/>
      <c r="I2885" s="25"/>
    </row>
    <row r="2886" spans="4:9" ht="12.75">
      <c r="D2886" s="5" t="s">
        <v>772</v>
      </c>
      <c r="E2886" s="55" t="s">
        <v>773</v>
      </c>
      <c r="F2886" s="55"/>
      <c r="G2886" s="24">
        <f>+G2882</f>
        <v>134687000</v>
      </c>
      <c r="H2886" s="24">
        <v>0</v>
      </c>
      <c r="I2886" s="24">
        <f>G2886+H2886</f>
        <v>134687000</v>
      </c>
    </row>
    <row r="2887" spans="4:9" ht="13.5" thickBot="1">
      <c r="D2887" s="5" t="s">
        <v>784</v>
      </c>
      <c r="E2887" s="55" t="s">
        <v>785</v>
      </c>
      <c r="F2887" s="55"/>
      <c r="G2887" s="24">
        <v>0</v>
      </c>
      <c r="H2887" s="24">
        <f>+H2883</f>
        <v>207500000</v>
      </c>
      <c r="I2887" s="24">
        <f>G2887+H2887</f>
        <v>207500000</v>
      </c>
    </row>
    <row r="2888" spans="5:9" ht="13.5" thickBot="1">
      <c r="E2888" s="56" t="s">
        <v>418</v>
      </c>
      <c r="F2888" s="56"/>
      <c r="G2888" s="26">
        <f>SUM(G2886:G2887)</f>
        <v>134687000</v>
      </c>
      <c r="H2888" s="26">
        <f>SUM(H2886:H2887)</f>
        <v>207500000</v>
      </c>
      <c r="I2888" s="26">
        <f>G2888+H2888</f>
        <v>342187000</v>
      </c>
    </row>
    <row r="2890" spans="1:6" ht="12.75">
      <c r="A2890" s="8">
        <v>38</v>
      </c>
      <c r="B2890" s="9" t="s">
        <v>766</v>
      </c>
      <c r="C2890" s="8"/>
      <c r="D2890" s="9"/>
      <c r="E2890" s="57" t="s">
        <v>293</v>
      </c>
      <c r="F2890" s="57"/>
    </row>
    <row r="2891" spans="1:6" ht="12.75">
      <c r="A2891" s="8"/>
      <c r="B2891" s="9"/>
      <c r="C2891" s="8" t="s">
        <v>845</v>
      </c>
      <c r="D2891" s="9"/>
      <c r="E2891" s="57" t="s">
        <v>846</v>
      </c>
      <c r="F2891" s="57"/>
    </row>
    <row r="2892" spans="4:9" ht="12.75">
      <c r="D2892" s="5" t="s">
        <v>911</v>
      </c>
      <c r="E2892" s="55" t="s">
        <v>199</v>
      </c>
      <c r="F2892" s="55"/>
      <c r="G2892" s="24">
        <v>6132000</v>
      </c>
      <c r="H2892" s="24">
        <v>0</v>
      </c>
      <c r="I2892" s="24">
        <f aca="true" t="shared" si="142" ref="I2892:I2903">G2892+H2892</f>
        <v>6132000</v>
      </c>
    </row>
    <row r="2893" spans="4:9" ht="12.75">
      <c r="D2893" s="5" t="s">
        <v>912</v>
      </c>
      <c r="E2893" s="55" t="s">
        <v>877</v>
      </c>
      <c r="F2893" s="55"/>
      <c r="G2893" s="24">
        <v>1098000</v>
      </c>
      <c r="H2893" s="24">
        <v>0</v>
      </c>
      <c r="I2893" s="24">
        <f t="shared" si="142"/>
        <v>1098000</v>
      </c>
    </row>
    <row r="2894" spans="4:9" ht="12.75">
      <c r="D2894" s="5" t="s">
        <v>918</v>
      </c>
      <c r="E2894" s="55" t="s">
        <v>878</v>
      </c>
      <c r="F2894" s="55"/>
      <c r="G2894" s="24">
        <v>10000</v>
      </c>
      <c r="H2894" s="24">
        <v>0</v>
      </c>
      <c r="I2894" s="24">
        <f t="shared" si="142"/>
        <v>10000</v>
      </c>
    </row>
    <row r="2895" spans="4:9" ht="12.75">
      <c r="D2895" s="5" t="s">
        <v>921</v>
      </c>
      <c r="E2895" s="55" t="s">
        <v>880</v>
      </c>
      <c r="F2895" s="55"/>
      <c r="G2895" s="24">
        <f>40000-16000+80000</f>
        <v>104000</v>
      </c>
      <c r="H2895" s="24">
        <v>0</v>
      </c>
      <c r="I2895" s="24">
        <f t="shared" si="142"/>
        <v>104000</v>
      </c>
    </row>
    <row r="2896" spans="4:9" ht="12.75">
      <c r="D2896" s="5" t="s">
        <v>919</v>
      </c>
      <c r="E2896" s="55" t="s">
        <v>200</v>
      </c>
      <c r="F2896" s="55"/>
      <c r="G2896" s="24">
        <f>100000+16000+50000</f>
        <v>166000</v>
      </c>
      <c r="H2896" s="24">
        <v>0</v>
      </c>
      <c r="I2896" s="24">
        <f t="shared" si="142"/>
        <v>166000</v>
      </c>
    </row>
    <row r="2897" spans="4:9" ht="12.75">
      <c r="D2897" s="5" t="s">
        <v>913</v>
      </c>
      <c r="E2897" s="55" t="s">
        <v>881</v>
      </c>
      <c r="F2897" s="55"/>
      <c r="G2897" s="24">
        <f>350000+70000</f>
        <v>420000</v>
      </c>
      <c r="H2897" s="24">
        <v>0</v>
      </c>
      <c r="I2897" s="24">
        <f t="shared" si="142"/>
        <v>420000</v>
      </c>
    </row>
    <row r="2898" spans="4:9" ht="12.75">
      <c r="D2898" s="5" t="s">
        <v>915</v>
      </c>
      <c r="E2898" s="55" t="s">
        <v>879</v>
      </c>
      <c r="F2898" s="55"/>
      <c r="G2898" s="24">
        <v>70000</v>
      </c>
      <c r="H2898" s="24">
        <v>0</v>
      </c>
      <c r="I2898" s="24">
        <f t="shared" si="142"/>
        <v>70000</v>
      </c>
    </row>
    <row r="2899" spans="4:9" ht="12.75">
      <c r="D2899" s="5" t="s">
        <v>916</v>
      </c>
      <c r="E2899" s="55" t="s">
        <v>882</v>
      </c>
      <c r="F2899" s="55"/>
      <c r="G2899" s="24">
        <v>660000</v>
      </c>
      <c r="H2899" s="24">
        <v>0</v>
      </c>
      <c r="I2899" s="24">
        <f t="shared" si="142"/>
        <v>660000</v>
      </c>
    </row>
    <row r="2900" spans="4:9" ht="12.75">
      <c r="D2900" s="5" t="s">
        <v>923</v>
      </c>
      <c r="E2900" s="55" t="s">
        <v>883</v>
      </c>
      <c r="F2900" s="55"/>
      <c r="G2900" s="24">
        <f>1500000-200000</f>
        <v>1300000</v>
      </c>
      <c r="H2900" s="24">
        <v>0</v>
      </c>
      <c r="I2900" s="24">
        <f t="shared" si="142"/>
        <v>1300000</v>
      </c>
    </row>
    <row r="2901" spans="4:9" ht="12.75">
      <c r="D2901" s="5" t="s">
        <v>924</v>
      </c>
      <c r="E2901" s="55" t="s">
        <v>203</v>
      </c>
      <c r="F2901" s="55"/>
      <c r="G2901" s="24">
        <v>40000</v>
      </c>
      <c r="H2901" s="24">
        <v>0</v>
      </c>
      <c r="I2901" s="24">
        <f t="shared" si="142"/>
        <v>40000</v>
      </c>
    </row>
    <row r="2902" spans="4:9" ht="12.75">
      <c r="D2902" s="5" t="s">
        <v>925</v>
      </c>
      <c r="E2902" s="55" t="s">
        <v>884</v>
      </c>
      <c r="F2902" s="55"/>
      <c r="G2902" s="24">
        <v>43000</v>
      </c>
      <c r="H2902" s="24">
        <v>0</v>
      </c>
      <c r="I2902" s="24">
        <f t="shared" si="142"/>
        <v>43000</v>
      </c>
    </row>
    <row r="2903" spans="4:9" ht="13.5" thickBot="1">
      <c r="D2903" s="5" t="s">
        <v>927</v>
      </c>
      <c r="E2903" s="55" t="s">
        <v>886</v>
      </c>
      <c r="F2903" s="55"/>
      <c r="G2903" s="24">
        <v>1977000</v>
      </c>
      <c r="H2903" s="24">
        <v>0</v>
      </c>
      <c r="I2903" s="24">
        <f t="shared" si="142"/>
        <v>1977000</v>
      </c>
    </row>
    <row r="2904" spans="5:9" ht="12.75">
      <c r="E2904" s="58" t="s">
        <v>91</v>
      </c>
      <c r="F2904" s="58"/>
      <c r="G2904" s="25"/>
      <c r="H2904" s="25"/>
      <c r="I2904" s="25"/>
    </row>
    <row r="2905" spans="4:9" ht="13.5" thickBot="1">
      <c r="D2905" s="5" t="s">
        <v>772</v>
      </c>
      <c r="E2905" s="55" t="s">
        <v>773</v>
      </c>
      <c r="F2905" s="55"/>
      <c r="G2905" s="24">
        <f>SUM(G2892:G2904)</f>
        <v>12020000</v>
      </c>
      <c r="I2905" s="24">
        <f>G2905+H2905</f>
        <v>12020000</v>
      </c>
    </row>
    <row r="2906" spans="5:9" ht="13.5" thickBot="1">
      <c r="E2906" s="56" t="s">
        <v>92</v>
      </c>
      <c r="F2906" s="56"/>
      <c r="G2906" s="26">
        <f>SUM(G2905:G2905)</f>
        <v>12020000</v>
      </c>
      <c r="H2906" s="26">
        <f>SUM(H2905:H2905)</f>
        <v>0</v>
      </c>
      <c r="I2906" s="26">
        <f>G2906+H2906</f>
        <v>12020000</v>
      </c>
    </row>
    <row r="2907" spans="5:9" ht="12.75">
      <c r="E2907" s="58" t="s">
        <v>419</v>
      </c>
      <c r="F2907" s="58"/>
      <c r="G2907" s="25"/>
      <c r="H2907" s="25"/>
      <c r="I2907" s="25"/>
    </row>
    <row r="2908" spans="4:9" ht="13.5" thickBot="1">
      <c r="D2908" s="5" t="s">
        <v>772</v>
      </c>
      <c r="E2908" s="55" t="s">
        <v>773</v>
      </c>
      <c r="F2908" s="55"/>
      <c r="G2908" s="24">
        <f>+G2905</f>
        <v>12020000</v>
      </c>
      <c r="H2908" s="24">
        <v>0</v>
      </c>
      <c r="I2908" s="24">
        <f>G2908+H2908</f>
        <v>12020000</v>
      </c>
    </row>
    <row r="2909" spans="5:9" ht="13.5" thickBot="1">
      <c r="E2909" s="56" t="s">
        <v>420</v>
      </c>
      <c r="F2909" s="56"/>
      <c r="G2909" s="26">
        <f>SUM(G2908:G2908)</f>
        <v>12020000</v>
      </c>
      <c r="H2909" s="26">
        <f>SUM(H2908:H2908)</f>
        <v>0</v>
      </c>
      <c r="I2909" s="26">
        <f>G2909+H2909</f>
        <v>12020000</v>
      </c>
    </row>
    <row r="2910" ht="10.5" customHeight="1"/>
    <row r="2911" spans="1:6" ht="26.25" customHeight="1">
      <c r="A2911" s="8">
        <v>39</v>
      </c>
      <c r="B2911" s="9" t="s">
        <v>766</v>
      </c>
      <c r="C2911" s="8"/>
      <c r="D2911" s="9"/>
      <c r="E2911" s="57" t="s">
        <v>301</v>
      </c>
      <c r="F2911" s="57"/>
    </row>
    <row r="2912" spans="1:6" ht="12.75">
      <c r="A2912" s="8"/>
      <c r="B2912" s="9"/>
      <c r="C2912" s="8" t="s">
        <v>869</v>
      </c>
      <c r="D2912" s="9"/>
      <c r="E2912" s="57" t="s">
        <v>870</v>
      </c>
      <c r="F2912" s="57"/>
    </row>
    <row r="2913" spans="4:9" ht="12.75">
      <c r="D2913" s="5" t="s">
        <v>911</v>
      </c>
      <c r="E2913" s="55" t="s">
        <v>199</v>
      </c>
      <c r="F2913" s="55"/>
      <c r="G2913" s="24">
        <v>3369000</v>
      </c>
      <c r="H2913" s="24">
        <v>0</v>
      </c>
      <c r="I2913" s="24">
        <f aca="true" t="shared" si="143" ref="I2913:I2921">G2913+H2913</f>
        <v>3369000</v>
      </c>
    </row>
    <row r="2914" spans="4:9" ht="12.75">
      <c r="D2914" s="5" t="s">
        <v>912</v>
      </c>
      <c r="E2914" s="55" t="s">
        <v>877</v>
      </c>
      <c r="F2914" s="55"/>
      <c r="G2914" s="24">
        <v>602000</v>
      </c>
      <c r="H2914" s="24">
        <v>0</v>
      </c>
      <c r="I2914" s="24">
        <f t="shared" si="143"/>
        <v>602000</v>
      </c>
    </row>
    <row r="2915" spans="4:9" ht="12.75">
      <c r="D2915" s="5" t="s">
        <v>918</v>
      </c>
      <c r="E2915" s="55" t="s">
        <v>878</v>
      </c>
      <c r="F2915" s="55"/>
      <c r="G2915" s="24">
        <v>35000</v>
      </c>
      <c r="H2915" s="24">
        <v>0</v>
      </c>
      <c r="I2915" s="24">
        <f t="shared" si="143"/>
        <v>35000</v>
      </c>
    </row>
    <row r="2916" spans="4:9" ht="12.75">
      <c r="D2916" s="5" t="s">
        <v>921</v>
      </c>
      <c r="E2916" s="55" t="s">
        <v>880</v>
      </c>
      <c r="F2916" s="55"/>
      <c r="G2916" s="24">
        <v>10000</v>
      </c>
      <c r="H2916" s="24">
        <v>0</v>
      </c>
      <c r="I2916" s="24">
        <f t="shared" si="143"/>
        <v>10000</v>
      </c>
    </row>
    <row r="2917" spans="4:9" ht="12.75">
      <c r="D2917" s="5" t="s">
        <v>919</v>
      </c>
      <c r="E2917" s="55" t="s">
        <v>200</v>
      </c>
      <c r="F2917" s="55"/>
      <c r="G2917" s="24">
        <f>32000+5000</f>
        <v>37000</v>
      </c>
      <c r="H2917" s="24">
        <v>0</v>
      </c>
      <c r="I2917" s="24">
        <f t="shared" si="143"/>
        <v>37000</v>
      </c>
    </row>
    <row r="2918" spans="4:9" ht="12.75">
      <c r="D2918" s="5" t="s">
        <v>913</v>
      </c>
      <c r="E2918" s="55" t="s">
        <v>881</v>
      </c>
      <c r="F2918" s="55"/>
      <c r="G2918" s="24">
        <v>55000</v>
      </c>
      <c r="H2918" s="24">
        <v>0</v>
      </c>
      <c r="I2918" s="24">
        <f t="shared" si="143"/>
        <v>55000</v>
      </c>
    </row>
    <row r="2919" spans="4:9" ht="12.75">
      <c r="D2919" s="5" t="s">
        <v>915</v>
      </c>
      <c r="E2919" s="55" t="s">
        <v>879</v>
      </c>
      <c r="F2919" s="55"/>
      <c r="G2919" s="24">
        <v>10000</v>
      </c>
      <c r="H2919" s="24">
        <v>0</v>
      </c>
      <c r="I2919" s="24">
        <f t="shared" si="143"/>
        <v>10000</v>
      </c>
    </row>
    <row r="2920" spans="4:9" ht="12.75">
      <c r="D2920" s="5" t="s">
        <v>916</v>
      </c>
      <c r="E2920" s="55" t="s">
        <v>882</v>
      </c>
      <c r="F2920" s="55"/>
      <c r="G2920" s="24">
        <f>60000+30000</f>
        <v>90000</v>
      </c>
      <c r="H2920" s="24">
        <v>0</v>
      </c>
      <c r="I2920" s="24">
        <f t="shared" si="143"/>
        <v>90000</v>
      </c>
    </row>
    <row r="2921" spans="4:9" ht="13.5" thickBot="1">
      <c r="D2921" s="5" t="s">
        <v>925</v>
      </c>
      <c r="E2921" s="55" t="s">
        <v>884</v>
      </c>
      <c r="F2921" s="55"/>
      <c r="G2921" s="24">
        <f>10000+30000</f>
        <v>40000</v>
      </c>
      <c r="H2921" s="24">
        <v>0</v>
      </c>
      <c r="I2921" s="24">
        <f t="shared" si="143"/>
        <v>40000</v>
      </c>
    </row>
    <row r="2922" spans="5:9" ht="12.75">
      <c r="E2922" s="58" t="s">
        <v>188</v>
      </c>
      <c r="F2922" s="58"/>
      <c r="G2922" s="25"/>
      <c r="H2922" s="25"/>
      <c r="I2922" s="25"/>
    </row>
    <row r="2923" spans="4:9" ht="13.5" thickBot="1">
      <c r="D2923" s="5" t="s">
        <v>772</v>
      </c>
      <c r="E2923" s="55" t="s">
        <v>773</v>
      </c>
      <c r="F2923" s="55"/>
      <c r="G2923" s="24">
        <f>SUM(G2913:G2922)</f>
        <v>4248000</v>
      </c>
      <c r="I2923" s="24">
        <f>G2923+H2923</f>
        <v>4248000</v>
      </c>
    </row>
    <row r="2924" spans="5:9" ht="13.5" thickBot="1">
      <c r="E2924" s="56" t="s">
        <v>189</v>
      </c>
      <c r="F2924" s="56"/>
      <c r="G2924" s="26">
        <f>SUM(G2923:G2923)</f>
        <v>4248000</v>
      </c>
      <c r="H2924" s="26">
        <f>SUM(H2923:H2923)</f>
        <v>0</v>
      </c>
      <c r="I2924" s="26">
        <f>G2924+H2924</f>
        <v>4248000</v>
      </c>
    </row>
    <row r="2925" spans="5:9" ht="12.75">
      <c r="E2925" s="58" t="s">
        <v>421</v>
      </c>
      <c r="F2925" s="58"/>
      <c r="G2925" s="25"/>
      <c r="H2925" s="25"/>
      <c r="I2925" s="25"/>
    </row>
    <row r="2926" spans="4:9" ht="13.5" thickBot="1">
      <c r="D2926" s="5" t="s">
        <v>772</v>
      </c>
      <c r="E2926" s="55" t="s">
        <v>773</v>
      </c>
      <c r="F2926" s="55"/>
      <c r="G2926" s="24">
        <f>+G2923</f>
        <v>4248000</v>
      </c>
      <c r="H2926" s="24">
        <v>0</v>
      </c>
      <c r="I2926" s="24">
        <f>G2926+H2926</f>
        <v>4248000</v>
      </c>
    </row>
    <row r="2927" spans="5:9" ht="13.5" thickBot="1">
      <c r="E2927" s="56" t="s">
        <v>422</v>
      </c>
      <c r="F2927" s="56"/>
      <c r="G2927" s="26">
        <f>SUM(G2926:G2926)</f>
        <v>4248000</v>
      </c>
      <c r="H2927" s="26">
        <f>SUM(H2926:H2926)</f>
        <v>0</v>
      </c>
      <c r="I2927" s="26">
        <f>G2927+H2927</f>
        <v>4248000</v>
      </c>
    </row>
    <row r="2928" spans="5:9" ht="10.5" customHeight="1">
      <c r="E2928" s="12"/>
      <c r="F2928" s="12"/>
      <c r="G2928" s="29"/>
      <c r="H2928" s="29"/>
      <c r="I2928" s="29"/>
    </row>
    <row r="2929" spans="1:6" ht="12.75">
      <c r="A2929" s="8">
        <v>40</v>
      </c>
      <c r="B2929" s="9" t="s">
        <v>766</v>
      </c>
      <c r="C2929" s="8"/>
      <c r="D2929" s="9"/>
      <c r="E2929" s="57" t="s">
        <v>302</v>
      </c>
      <c r="F2929" s="57"/>
    </row>
    <row r="2930" spans="1:6" ht="26.25" customHeight="1">
      <c r="A2930" s="8"/>
      <c r="B2930" s="9"/>
      <c r="C2930" s="8" t="s">
        <v>802</v>
      </c>
      <c r="D2930" s="9"/>
      <c r="E2930" s="57" t="s">
        <v>803</v>
      </c>
      <c r="F2930" s="57"/>
    </row>
    <row r="2931" spans="4:9" ht="12.75">
      <c r="D2931" s="5" t="s">
        <v>911</v>
      </c>
      <c r="E2931" s="55" t="s">
        <v>199</v>
      </c>
      <c r="F2931" s="55"/>
      <c r="G2931" s="24">
        <v>12982000</v>
      </c>
      <c r="H2931" s="24">
        <v>0</v>
      </c>
      <c r="I2931" s="24">
        <f aca="true" t="shared" si="144" ref="I2931:I2940">G2931+H2931</f>
        <v>12982000</v>
      </c>
    </row>
    <row r="2932" spans="4:9" ht="12.75">
      <c r="D2932" s="5" t="s">
        <v>912</v>
      </c>
      <c r="E2932" s="55" t="s">
        <v>877</v>
      </c>
      <c r="F2932" s="55"/>
      <c r="G2932" s="24">
        <v>2442000</v>
      </c>
      <c r="H2932" s="24">
        <v>0</v>
      </c>
      <c r="I2932" s="24">
        <f t="shared" si="144"/>
        <v>2442000</v>
      </c>
    </row>
    <row r="2933" spans="4:9" ht="12.75">
      <c r="D2933" s="5" t="s">
        <v>921</v>
      </c>
      <c r="E2933" s="55" t="s">
        <v>880</v>
      </c>
      <c r="F2933" s="55"/>
      <c r="G2933" s="24">
        <v>50000</v>
      </c>
      <c r="H2933" s="24">
        <v>0</v>
      </c>
      <c r="I2933" s="24">
        <f t="shared" si="144"/>
        <v>50000</v>
      </c>
    </row>
    <row r="2934" spans="4:9" ht="12.75">
      <c r="D2934" s="5" t="s">
        <v>919</v>
      </c>
      <c r="E2934" s="55" t="s">
        <v>200</v>
      </c>
      <c r="F2934" s="55"/>
      <c r="G2934" s="24">
        <v>172000</v>
      </c>
      <c r="H2934" s="24">
        <v>0</v>
      </c>
      <c r="I2934" s="24">
        <f t="shared" si="144"/>
        <v>172000</v>
      </c>
    </row>
    <row r="2935" spans="4:9" ht="12.75">
      <c r="D2935" s="5" t="s">
        <v>913</v>
      </c>
      <c r="E2935" s="55" t="s">
        <v>881</v>
      </c>
      <c r="F2935" s="55"/>
      <c r="G2935" s="24">
        <f>600000+350000</f>
        <v>950000</v>
      </c>
      <c r="H2935" s="24">
        <v>0</v>
      </c>
      <c r="I2935" s="24">
        <f t="shared" si="144"/>
        <v>950000</v>
      </c>
    </row>
    <row r="2936" spans="4:9" ht="12.75">
      <c r="D2936" s="5" t="s">
        <v>915</v>
      </c>
      <c r="E2936" s="55" t="s">
        <v>879</v>
      </c>
      <c r="F2936" s="55"/>
      <c r="G2936" s="24">
        <v>1400000</v>
      </c>
      <c r="H2936" s="24">
        <v>290935.68</v>
      </c>
      <c r="I2936" s="24">
        <f t="shared" si="144"/>
        <v>1690935.68</v>
      </c>
    </row>
    <row r="2937" spans="4:9" ht="12.75">
      <c r="D2937" s="5" t="s">
        <v>916</v>
      </c>
      <c r="E2937" s="55" t="s">
        <v>882</v>
      </c>
      <c r="F2937" s="55"/>
      <c r="G2937" s="24">
        <v>6120000</v>
      </c>
      <c r="H2937" s="24">
        <v>32472465.5</v>
      </c>
      <c r="I2937" s="24">
        <f t="shared" si="144"/>
        <v>38592465.5</v>
      </c>
    </row>
    <row r="2938" spans="4:9" ht="12.75">
      <c r="D2938" s="5" t="s">
        <v>924</v>
      </c>
      <c r="E2938" s="55" t="s">
        <v>203</v>
      </c>
      <c r="F2938" s="55"/>
      <c r="G2938" s="24">
        <v>50000</v>
      </c>
      <c r="H2938" s="24">
        <v>0</v>
      </c>
      <c r="I2938" s="24">
        <f t="shared" si="144"/>
        <v>50000</v>
      </c>
    </row>
    <row r="2939" spans="4:9" ht="12.75">
      <c r="D2939" s="5" t="s">
        <v>925</v>
      </c>
      <c r="E2939" s="55" t="s">
        <v>884</v>
      </c>
      <c r="F2939" s="55"/>
      <c r="G2939" s="24">
        <v>122000</v>
      </c>
      <c r="H2939" s="24">
        <v>0</v>
      </c>
      <c r="I2939" s="24">
        <f t="shared" si="144"/>
        <v>122000</v>
      </c>
    </row>
    <row r="2940" spans="4:9" ht="13.5" thickBot="1">
      <c r="D2940" s="5" t="s">
        <v>754</v>
      </c>
      <c r="E2940" s="55" t="s">
        <v>212</v>
      </c>
      <c r="F2940" s="55"/>
      <c r="G2940" s="24">
        <v>50000</v>
      </c>
      <c r="H2940" s="24">
        <v>0</v>
      </c>
      <c r="I2940" s="24">
        <f t="shared" si="144"/>
        <v>50000</v>
      </c>
    </row>
    <row r="2941" spans="5:9" ht="12.75">
      <c r="E2941" s="58" t="s">
        <v>32</v>
      </c>
      <c r="F2941" s="58"/>
      <c r="G2941" s="25"/>
      <c r="H2941" s="25"/>
      <c r="I2941" s="25"/>
    </row>
    <row r="2942" spans="4:9" ht="12.75">
      <c r="D2942" s="5" t="s">
        <v>772</v>
      </c>
      <c r="E2942" s="55" t="s">
        <v>773</v>
      </c>
      <c r="F2942" s="55"/>
      <c r="G2942" s="24">
        <f>SUM(G2931:G2941)</f>
        <v>24338000</v>
      </c>
      <c r="I2942" s="24">
        <f>G2942+H2942</f>
        <v>24338000</v>
      </c>
    </row>
    <row r="2943" spans="4:9" ht="12.75">
      <c r="D2943" s="5" t="s">
        <v>780</v>
      </c>
      <c r="E2943" s="55" t="s">
        <v>781</v>
      </c>
      <c r="F2943" s="55"/>
      <c r="H2943" s="24">
        <v>8327241.18</v>
      </c>
      <c r="I2943" s="24">
        <f>G2943+H2943</f>
        <v>8327241.18</v>
      </c>
    </row>
    <row r="2944" spans="4:9" ht="13.5" thickBot="1">
      <c r="D2944" s="5" t="s">
        <v>830</v>
      </c>
      <c r="E2944" s="55" t="s">
        <v>906</v>
      </c>
      <c r="F2944" s="55"/>
      <c r="H2944" s="24">
        <v>24436160</v>
      </c>
      <c r="I2944" s="24">
        <f>G2944+H2944</f>
        <v>24436160</v>
      </c>
    </row>
    <row r="2945" spans="5:9" ht="13.5" thickBot="1">
      <c r="E2945" s="56" t="s">
        <v>33</v>
      </c>
      <c r="F2945" s="56"/>
      <c r="G2945" s="26">
        <f>SUM(G2942:G2944)</f>
        <v>24338000</v>
      </c>
      <c r="H2945" s="26">
        <f>SUM(H2942:H2944)</f>
        <v>32763401.18</v>
      </c>
      <c r="I2945" s="26">
        <f>G2945+H2945</f>
        <v>57101401.18</v>
      </c>
    </row>
    <row r="2946" spans="5:9" ht="12.75">
      <c r="E2946" s="58" t="s">
        <v>423</v>
      </c>
      <c r="F2946" s="58"/>
      <c r="G2946" s="25"/>
      <c r="H2946" s="25"/>
      <c r="I2946" s="25"/>
    </row>
    <row r="2947" spans="4:9" ht="12.75">
      <c r="D2947" s="5" t="s">
        <v>772</v>
      </c>
      <c r="E2947" s="55" t="s">
        <v>773</v>
      </c>
      <c r="F2947" s="55"/>
      <c r="G2947" s="24">
        <f>+G2942</f>
        <v>24338000</v>
      </c>
      <c r="H2947" s="24">
        <v>0</v>
      </c>
      <c r="I2947" s="24">
        <f>G2947+H2947</f>
        <v>24338000</v>
      </c>
    </row>
    <row r="2948" spans="4:9" ht="12.75">
      <c r="D2948" s="5" t="s">
        <v>780</v>
      </c>
      <c r="E2948" s="55" t="s">
        <v>781</v>
      </c>
      <c r="F2948" s="55"/>
      <c r="G2948" s="24">
        <v>0</v>
      </c>
      <c r="H2948" s="24">
        <f>+H2943</f>
        <v>8327241.18</v>
      </c>
      <c r="I2948" s="24">
        <f>G2948+H2948</f>
        <v>8327241.18</v>
      </c>
    </row>
    <row r="2949" spans="4:9" ht="13.5" thickBot="1">
      <c r="D2949" s="5" t="s">
        <v>830</v>
      </c>
      <c r="E2949" s="55" t="s">
        <v>906</v>
      </c>
      <c r="F2949" s="55"/>
      <c r="G2949" s="24">
        <v>0</v>
      </c>
      <c r="H2949" s="24">
        <f>+H2944</f>
        <v>24436160</v>
      </c>
      <c r="I2949" s="24">
        <f>G2949+H2949</f>
        <v>24436160</v>
      </c>
    </row>
    <row r="2950" spans="5:9" ht="13.5" thickBot="1">
      <c r="E2950" s="56" t="s">
        <v>424</v>
      </c>
      <c r="F2950" s="56"/>
      <c r="G2950" s="26">
        <f>SUM(G2947:G2949)</f>
        <v>24338000</v>
      </c>
      <c r="H2950" s="26">
        <f>SUM(H2947:H2949)</f>
        <v>32763401.18</v>
      </c>
      <c r="I2950" s="26">
        <f>G2950+H2950</f>
        <v>57101401.18</v>
      </c>
    </row>
    <row r="2951" spans="5:9" ht="9" customHeight="1">
      <c r="E2951" s="12"/>
      <c r="F2951" s="12"/>
      <c r="G2951" s="29"/>
      <c r="H2951" s="29"/>
      <c r="I2951" s="29"/>
    </row>
    <row r="2952" spans="1:6" ht="12.75">
      <c r="A2952" s="8">
        <v>41</v>
      </c>
      <c r="B2952" s="9" t="s">
        <v>766</v>
      </c>
      <c r="C2952" s="8"/>
      <c r="D2952" s="9"/>
      <c r="E2952" s="57" t="s">
        <v>294</v>
      </c>
      <c r="F2952" s="57"/>
    </row>
    <row r="2953" spans="1:6" ht="12.75">
      <c r="A2953" s="8"/>
      <c r="B2953" s="9"/>
      <c r="C2953" s="8" t="s">
        <v>871</v>
      </c>
      <c r="D2953" s="9"/>
      <c r="E2953" s="57" t="s">
        <v>872</v>
      </c>
      <c r="F2953" s="57"/>
    </row>
    <row r="2954" spans="4:9" ht="12.75">
      <c r="D2954" s="5" t="s">
        <v>911</v>
      </c>
      <c r="E2954" s="55" t="s">
        <v>199</v>
      </c>
      <c r="F2954" s="55"/>
      <c r="G2954" s="24">
        <v>3389000</v>
      </c>
      <c r="H2954" s="24">
        <v>0</v>
      </c>
      <c r="I2954" s="24">
        <f aca="true" t="shared" si="145" ref="I2954:I2964">G2954+H2954</f>
        <v>3389000</v>
      </c>
    </row>
    <row r="2955" spans="4:9" ht="12.75">
      <c r="D2955" s="5" t="s">
        <v>912</v>
      </c>
      <c r="E2955" s="55" t="s">
        <v>877</v>
      </c>
      <c r="F2955" s="55"/>
      <c r="G2955" s="24">
        <v>607000</v>
      </c>
      <c r="H2955" s="24">
        <v>0</v>
      </c>
      <c r="I2955" s="24">
        <f t="shared" si="145"/>
        <v>607000</v>
      </c>
    </row>
    <row r="2956" spans="4:9" ht="12.75">
      <c r="D2956" s="5" t="s">
        <v>918</v>
      </c>
      <c r="E2956" s="55" t="s">
        <v>878</v>
      </c>
      <c r="F2956" s="55"/>
      <c r="G2956" s="24">
        <f>10000-3000</f>
        <v>7000</v>
      </c>
      <c r="H2956" s="24">
        <v>0</v>
      </c>
      <c r="I2956" s="24">
        <f t="shared" si="145"/>
        <v>7000</v>
      </c>
    </row>
    <row r="2957" spans="4:9" ht="12.75">
      <c r="D2957" s="5" t="s">
        <v>921</v>
      </c>
      <c r="E2957" s="55" t="s">
        <v>880</v>
      </c>
      <c r="F2957" s="55"/>
      <c r="G2957" s="24">
        <v>10000</v>
      </c>
      <c r="H2957" s="24">
        <v>0</v>
      </c>
      <c r="I2957" s="24">
        <f t="shared" si="145"/>
        <v>10000</v>
      </c>
    </row>
    <row r="2958" spans="4:9" ht="12.75">
      <c r="D2958" s="5" t="s">
        <v>919</v>
      </c>
      <c r="E2958" s="55" t="s">
        <v>200</v>
      </c>
      <c r="F2958" s="55"/>
      <c r="G2958" s="24">
        <f>29000+3000</f>
        <v>32000</v>
      </c>
      <c r="H2958" s="24">
        <v>0</v>
      </c>
      <c r="I2958" s="24">
        <f t="shared" si="145"/>
        <v>32000</v>
      </c>
    </row>
    <row r="2959" spans="4:9" ht="12.75">
      <c r="D2959" s="5" t="s">
        <v>913</v>
      </c>
      <c r="E2959" s="55" t="s">
        <v>881</v>
      </c>
      <c r="F2959" s="55"/>
      <c r="G2959" s="24">
        <v>160000</v>
      </c>
      <c r="H2959" s="24">
        <v>0</v>
      </c>
      <c r="I2959" s="24">
        <f t="shared" si="145"/>
        <v>160000</v>
      </c>
    </row>
    <row r="2960" spans="4:9" ht="12.75">
      <c r="D2960" s="5" t="s">
        <v>915</v>
      </c>
      <c r="E2960" s="55" t="s">
        <v>879</v>
      </c>
      <c r="F2960" s="55"/>
      <c r="G2960" s="24">
        <v>90000</v>
      </c>
      <c r="H2960" s="24">
        <v>0</v>
      </c>
      <c r="I2960" s="24">
        <f t="shared" si="145"/>
        <v>90000</v>
      </c>
    </row>
    <row r="2961" spans="4:9" ht="12.75">
      <c r="D2961" s="5" t="s">
        <v>916</v>
      </c>
      <c r="E2961" s="55" t="s">
        <v>882</v>
      </c>
      <c r="F2961" s="55"/>
      <c r="G2961" s="24">
        <v>13000</v>
      </c>
      <c r="H2961" s="24">
        <v>0</v>
      </c>
      <c r="I2961" s="24">
        <f t="shared" si="145"/>
        <v>13000</v>
      </c>
    </row>
    <row r="2962" spans="4:9" ht="12.75">
      <c r="D2962" s="5" t="s">
        <v>924</v>
      </c>
      <c r="E2962" s="55" t="s">
        <v>203</v>
      </c>
      <c r="F2962" s="55"/>
      <c r="G2962" s="24">
        <v>100000</v>
      </c>
      <c r="H2962" s="24">
        <v>0</v>
      </c>
      <c r="I2962" s="24">
        <f t="shared" si="145"/>
        <v>100000</v>
      </c>
    </row>
    <row r="2963" spans="4:9" ht="12.75">
      <c r="D2963" s="5" t="s">
        <v>925</v>
      </c>
      <c r="E2963" s="55" t="s">
        <v>884</v>
      </c>
      <c r="F2963" s="55"/>
      <c r="G2963" s="24">
        <f>200000+40000</f>
        <v>240000</v>
      </c>
      <c r="H2963" s="24">
        <v>0</v>
      </c>
      <c r="I2963" s="24">
        <f t="shared" si="145"/>
        <v>240000</v>
      </c>
    </row>
    <row r="2964" spans="4:9" ht="13.5" thickBot="1">
      <c r="D2964" s="5" t="s">
        <v>754</v>
      </c>
      <c r="E2964" s="55" t="s">
        <v>212</v>
      </c>
      <c r="F2964" s="55"/>
      <c r="G2964" s="24">
        <v>50000</v>
      </c>
      <c r="H2964" s="24">
        <v>0</v>
      </c>
      <c r="I2964" s="24">
        <f t="shared" si="145"/>
        <v>50000</v>
      </c>
    </row>
    <row r="2965" spans="5:9" ht="12.75">
      <c r="E2965" s="58" t="s">
        <v>413</v>
      </c>
      <c r="F2965" s="58"/>
      <c r="G2965" s="25"/>
      <c r="H2965" s="25"/>
      <c r="I2965" s="25"/>
    </row>
    <row r="2966" spans="4:9" ht="13.5" thickBot="1">
      <c r="D2966" s="5" t="s">
        <v>772</v>
      </c>
      <c r="E2966" s="55" t="s">
        <v>773</v>
      </c>
      <c r="F2966" s="55"/>
      <c r="G2966" s="24">
        <f>SUM(G2954:G2965)</f>
        <v>4698000</v>
      </c>
      <c r="I2966" s="24">
        <f>G2966+H2966</f>
        <v>4698000</v>
      </c>
    </row>
    <row r="2967" spans="5:9" ht="13.5" thickBot="1">
      <c r="E2967" s="56" t="s">
        <v>414</v>
      </c>
      <c r="F2967" s="56"/>
      <c r="G2967" s="26">
        <f>SUM(G2966:G2966)</f>
        <v>4698000</v>
      </c>
      <c r="H2967" s="26">
        <f>SUM(H2966:H2966)</f>
        <v>0</v>
      </c>
      <c r="I2967" s="26">
        <f>G2967+H2967</f>
        <v>4698000</v>
      </c>
    </row>
    <row r="2968" spans="5:9" ht="12.75">
      <c r="E2968" s="58" t="s">
        <v>425</v>
      </c>
      <c r="F2968" s="58"/>
      <c r="G2968" s="25"/>
      <c r="H2968" s="25"/>
      <c r="I2968" s="25"/>
    </row>
    <row r="2969" spans="4:9" ht="13.5" thickBot="1">
      <c r="D2969" s="5" t="s">
        <v>772</v>
      </c>
      <c r="E2969" s="55" t="s">
        <v>773</v>
      </c>
      <c r="F2969" s="55"/>
      <c r="G2969" s="24">
        <f>+G2966</f>
        <v>4698000</v>
      </c>
      <c r="H2969" s="24">
        <v>0</v>
      </c>
      <c r="I2969" s="24">
        <f>G2969+H2969</f>
        <v>4698000</v>
      </c>
    </row>
    <row r="2970" spans="5:9" ht="13.5" thickBot="1">
      <c r="E2970" s="56" t="s">
        <v>426</v>
      </c>
      <c r="F2970" s="56"/>
      <c r="G2970" s="26">
        <f>SUM(G2969:G2969)</f>
        <v>4698000</v>
      </c>
      <c r="H2970" s="26">
        <f>SUM(H2969:H2969)</f>
        <v>0</v>
      </c>
      <c r="I2970" s="26">
        <f>G2970+H2970</f>
        <v>4698000</v>
      </c>
    </row>
    <row r="2971" ht="9" customHeight="1"/>
    <row r="2972" spans="1:6" ht="12.75">
      <c r="A2972" s="8">
        <v>42</v>
      </c>
      <c r="B2972" s="9" t="s">
        <v>766</v>
      </c>
      <c r="C2972" s="8"/>
      <c r="D2972" s="9"/>
      <c r="E2972" s="57" t="s">
        <v>305</v>
      </c>
      <c r="F2972" s="57"/>
    </row>
    <row r="2973" spans="1:6" ht="12.75">
      <c r="A2973" s="8"/>
      <c r="B2973" s="9"/>
      <c r="C2973" s="8" t="s">
        <v>770</v>
      </c>
      <c r="D2973" s="9"/>
      <c r="E2973" s="57" t="s">
        <v>771</v>
      </c>
      <c r="F2973" s="57"/>
    </row>
    <row r="2974" spans="4:9" ht="12.75">
      <c r="D2974" s="5" t="s">
        <v>911</v>
      </c>
      <c r="E2974" s="55" t="s">
        <v>199</v>
      </c>
      <c r="F2974" s="55"/>
      <c r="G2974" s="24">
        <v>30207000</v>
      </c>
      <c r="H2974" s="24">
        <v>0</v>
      </c>
      <c r="I2974" s="24">
        <f aca="true" t="shared" si="146" ref="I2974:I2984">G2974+H2974</f>
        <v>30207000</v>
      </c>
    </row>
    <row r="2975" spans="4:9" ht="12.75">
      <c r="D2975" s="5" t="s">
        <v>912</v>
      </c>
      <c r="E2975" s="55" t="s">
        <v>877</v>
      </c>
      <c r="F2975" s="55"/>
      <c r="G2975" s="24">
        <v>5407000</v>
      </c>
      <c r="H2975" s="24">
        <v>0</v>
      </c>
      <c r="I2975" s="24">
        <f t="shared" si="146"/>
        <v>5407000</v>
      </c>
    </row>
    <row r="2976" spans="4:9" ht="12.75">
      <c r="D2976" s="5" t="s">
        <v>921</v>
      </c>
      <c r="E2976" s="55" t="s">
        <v>880</v>
      </c>
      <c r="F2976" s="55"/>
      <c r="G2976" s="24">
        <v>500000</v>
      </c>
      <c r="H2976" s="24">
        <v>0</v>
      </c>
      <c r="I2976" s="24">
        <f t="shared" si="146"/>
        <v>500000</v>
      </c>
    </row>
    <row r="2977" spans="4:9" ht="12.75">
      <c r="D2977" s="5" t="s">
        <v>919</v>
      </c>
      <c r="E2977" s="55" t="s">
        <v>200</v>
      </c>
      <c r="F2977" s="55"/>
      <c r="G2977" s="24">
        <v>1000000</v>
      </c>
      <c r="H2977" s="24">
        <v>0</v>
      </c>
      <c r="I2977" s="24">
        <f t="shared" si="146"/>
        <v>1000000</v>
      </c>
    </row>
    <row r="2978" spans="4:9" ht="12.75">
      <c r="D2978" s="5" t="s">
        <v>913</v>
      </c>
      <c r="E2978" s="55" t="s">
        <v>881</v>
      </c>
      <c r="F2978" s="55"/>
      <c r="G2978" s="24">
        <v>522000</v>
      </c>
      <c r="H2978" s="24">
        <v>3594000</v>
      </c>
      <c r="I2978" s="24">
        <f t="shared" si="146"/>
        <v>4116000</v>
      </c>
    </row>
    <row r="2979" spans="4:9" ht="12.75">
      <c r="D2979" s="5" t="s">
        <v>915</v>
      </c>
      <c r="E2979" s="55" t="s">
        <v>879</v>
      </c>
      <c r="F2979" s="55"/>
      <c r="G2979" s="24">
        <v>100000</v>
      </c>
      <c r="H2979" s="24">
        <v>4945000</v>
      </c>
      <c r="I2979" s="24">
        <f t="shared" si="146"/>
        <v>5045000</v>
      </c>
    </row>
    <row r="2980" spans="4:9" ht="12.75">
      <c r="D2980" s="5" t="s">
        <v>916</v>
      </c>
      <c r="E2980" s="55" t="s">
        <v>882</v>
      </c>
      <c r="F2980" s="55"/>
      <c r="G2980" s="24">
        <v>120000</v>
      </c>
      <c r="H2980" s="24">
        <v>4827000</v>
      </c>
      <c r="I2980" s="24">
        <f t="shared" si="146"/>
        <v>4947000</v>
      </c>
    </row>
    <row r="2981" spans="4:9" ht="12.75">
      <c r="D2981" s="5" t="s">
        <v>923</v>
      </c>
      <c r="E2981" s="55" t="s">
        <v>883</v>
      </c>
      <c r="F2981" s="55"/>
      <c r="G2981" s="24">
        <v>13000</v>
      </c>
      <c r="H2981" s="24">
        <v>0</v>
      </c>
      <c r="I2981" s="24">
        <f t="shared" si="146"/>
        <v>13000</v>
      </c>
    </row>
    <row r="2982" spans="4:9" ht="12.75">
      <c r="D2982" s="5" t="s">
        <v>924</v>
      </c>
      <c r="E2982" s="55" t="s">
        <v>203</v>
      </c>
      <c r="F2982" s="55"/>
      <c r="G2982" s="24">
        <v>35000</v>
      </c>
      <c r="H2982" s="24">
        <v>2059724.45</v>
      </c>
      <c r="I2982" s="24">
        <f t="shared" si="146"/>
        <v>2094724.45</v>
      </c>
    </row>
    <row r="2983" spans="4:9" ht="12.75">
      <c r="D2983" s="5" t="s">
        <v>925</v>
      </c>
      <c r="E2983" s="55" t="s">
        <v>884</v>
      </c>
      <c r="F2983" s="55"/>
      <c r="G2983" s="24">
        <v>346000</v>
      </c>
      <c r="H2983" s="24">
        <v>4737000</v>
      </c>
      <c r="I2983" s="24">
        <f t="shared" si="146"/>
        <v>5083000</v>
      </c>
    </row>
    <row r="2984" spans="4:9" ht="13.5" thickBot="1">
      <c r="D2984" s="5" t="s">
        <v>927</v>
      </c>
      <c r="E2984" s="55" t="s">
        <v>886</v>
      </c>
      <c r="F2984" s="55"/>
      <c r="G2984" s="24">
        <v>58000</v>
      </c>
      <c r="H2984" s="24">
        <v>4971810</v>
      </c>
      <c r="I2984" s="24">
        <f t="shared" si="146"/>
        <v>5029810</v>
      </c>
    </row>
    <row r="2985" spans="5:9" ht="12.75">
      <c r="E2985" s="58" t="s">
        <v>346</v>
      </c>
      <c r="F2985" s="58"/>
      <c r="G2985" s="25"/>
      <c r="H2985" s="25"/>
      <c r="I2985" s="25"/>
    </row>
    <row r="2986" spans="4:9" ht="12.75">
      <c r="D2986" s="5" t="s">
        <v>772</v>
      </c>
      <c r="E2986" s="55" t="s">
        <v>773</v>
      </c>
      <c r="F2986" s="55"/>
      <c r="G2986" s="24">
        <f>SUM(G2974:G2985)</f>
        <v>38308000</v>
      </c>
      <c r="I2986" s="24">
        <f>G2986+H2986</f>
        <v>38308000</v>
      </c>
    </row>
    <row r="2987" spans="4:9" ht="12.75">
      <c r="D2987" s="5" t="s">
        <v>784</v>
      </c>
      <c r="E2987" s="55" t="s">
        <v>785</v>
      </c>
      <c r="F2987" s="55"/>
      <c r="H2987" s="24">
        <v>18658724</v>
      </c>
      <c r="I2987" s="24">
        <f>G2987+H2987</f>
        <v>18658724</v>
      </c>
    </row>
    <row r="2988" spans="4:9" ht="13.5" thickBot="1">
      <c r="D2988" s="5" t="s">
        <v>825</v>
      </c>
      <c r="E2988" s="55" t="s">
        <v>905</v>
      </c>
      <c r="F2988" s="55"/>
      <c r="H2988" s="24">
        <v>6475810.45</v>
      </c>
      <c r="I2988" s="24">
        <f>G2988+H2988</f>
        <v>6475810.45</v>
      </c>
    </row>
    <row r="2989" spans="5:9" ht="13.5" thickBot="1">
      <c r="E2989" s="56" t="s">
        <v>347</v>
      </c>
      <c r="F2989" s="56"/>
      <c r="G2989" s="26">
        <f>SUM(G2986:G2988)</f>
        <v>38308000</v>
      </c>
      <c r="H2989" s="26">
        <f>SUM(H2986:H2988)</f>
        <v>25134534.45</v>
      </c>
      <c r="I2989" s="26">
        <f>G2989+H2989</f>
        <v>63442534.45</v>
      </c>
    </row>
    <row r="2990" spans="5:9" ht="12.75">
      <c r="E2990" s="58" t="s">
        <v>427</v>
      </c>
      <c r="F2990" s="58"/>
      <c r="G2990" s="25"/>
      <c r="H2990" s="25"/>
      <c r="I2990" s="25"/>
    </row>
    <row r="2991" spans="4:9" ht="12.75">
      <c r="D2991" s="5" t="s">
        <v>772</v>
      </c>
      <c r="E2991" s="55" t="s">
        <v>773</v>
      </c>
      <c r="F2991" s="55"/>
      <c r="G2991" s="24">
        <f>+G2986</f>
        <v>38308000</v>
      </c>
      <c r="H2991" s="24">
        <v>0</v>
      </c>
      <c r="I2991" s="24">
        <f>G2991+H2991</f>
        <v>38308000</v>
      </c>
    </row>
    <row r="2992" spans="4:9" ht="12.75">
      <c r="D2992" s="5" t="s">
        <v>784</v>
      </c>
      <c r="E2992" s="55" t="s">
        <v>785</v>
      </c>
      <c r="F2992" s="55"/>
      <c r="G2992" s="24">
        <v>0</v>
      </c>
      <c r="H2992" s="24">
        <f>+H2987</f>
        <v>18658724</v>
      </c>
      <c r="I2992" s="24">
        <f>G2992+H2992</f>
        <v>18658724</v>
      </c>
    </row>
    <row r="2993" spans="4:9" ht="13.5" thickBot="1">
      <c r="D2993" s="5" t="s">
        <v>825</v>
      </c>
      <c r="E2993" s="55" t="s">
        <v>905</v>
      </c>
      <c r="F2993" s="55"/>
      <c r="G2993" s="24">
        <v>0</v>
      </c>
      <c r="H2993" s="24">
        <f>+H2988</f>
        <v>6475810.45</v>
      </c>
      <c r="I2993" s="24">
        <f>G2993+H2993</f>
        <v>6475810.45</v>
      </c>
    </row>
    <row r="2994" spans="5:9" ht="13.5" thickBot="1">
      <c r="E2994" s="56" t="s">
        <v>428</v>
      </c>
      <c r="F2994" s="56"/>
      <c r="G2994" s="26">
        <f>SUM(G2991:G2993)</f>
        <v>38308000</v>
      </c>
      <c r="H2994" s="26">
        <f>SUM(H2991:H2993)</f>
        <v>25134534.45</v>
      </c>
      <c r="I2994" s="26">
        <f>G2994+H2994</f>
        <v>63442534.45</v>
      </c>
    </row>
    <row r="2995" spans="5:9" ht="12.75">
      <c r="E2995" s="12"/>
      <c r="F2995" s="12"/>
      <c r="G2995" s="29"/>
      <c r="H2995" s="29"/>
      <c r="I2995" s="29"/>
    </row>
    <row r="2996" spans="1:6" ht="12.75">
      <c r="A2996" s="8">
        <v>43</v>
      </c>
      <c r="B2996" s="9" t="s">
        <v>766</v>
      </c>
      <c r="C2996" s="8"/>
      <c r="D2996" s="9"/>
      <c r="E2996" s="57" t="s">
        <v>131</v>
      </c>
      <c r="F2996" s="57"/>
    </row>
    <row r="2997" spans="1:6" ht="12.75">
      <c r="A2997" s="8"/>
      <c r="B2997" s="9"/>
      <c r="C2997" s="8" t="s">
        <v>792</v>
      </c>
      <c r="D2997" s="9"/>
      <c r="E2997" s="57" t="s">
        <v>793</v>
      </c>
      <c r="F2997" s="57"/>
    </row>
    <row r="2998" spans="4:9" ht="12.75">
      <c r="D2998" s="5" t="s">
        <v>911</v>
      </c>
      <c r="E2998" s="55" t="s">
        <v>199</v>
      </c>
      <c r="F2998" s="55"/>
      <c r="G2998" s="24">
        <v>50843000</v>
      </c>
      <c r="H2998" s="24">
        <v>390000</v>
      </c>
      <c r="I2998" s="24">
        <f aca="true" t="shared" si="147" ref="I2998:I3008">G2998+H2998</f>
        <v>51233000</v>
      </c>
    </row>
    <row r="2999" spans="4:9" ht="12.75">
      <c r="D2999" s="5" t="s">
        <v>912</v>
      </c>
      <c r="E2999" s="55" t="s">
        <v>877</v>
      </c>
      <c r="F2999" s="55"/>
      <c r="G2999" s="24">
        <v>9230000</v>
      </c>
      <c r="H2999" s="24">
        <v>70000</v>
      </c>
      <c r="I2999" s="24">
        <f t="shared" si="147"/>
        <v>9300000</v>
      </c>
    </row>
    <row r="3000" spans="4:9" ht="12.75">
      <c r="D3000" s="5" t="s">
        <v>921</v>
      </c>
      <c r="E3000" s="55" t="s">
        <v>880</v>
      </c>
      <c r="F3000" s="55"/>
      <c r="G3000" s="24">
        <v>60000</v>
      </c>
      <c r="H3000" s="24">
        <v>300000</v>
      </c>
      <c r="I3000" s="24">
        <f t="shared" si="147"/>
        <v>360000</v>
      </c>
    </row>
    <row r="3001" spans="4:9" ht="12.75">
      <c r="D3001" s="5" t="s">
        <v>919</v>
      </c>
      <c r="E3001" s="55" t="s">
        <v>200</v>
      </c>
      <c r="F3001" s="55"/>
      <c r="G3001" s="24">
        <v>621000</v>
      </c>
      <c r="H3001" s="24">
        <v>500000</v>
      </c>
      <c r="I3001" s="24">
        <f t="shared" si="147"/>
        <v>1121000</v>
      </c>
    </row>
    <row r="3002" spans="4:9" ht="12.75">
      <c r="D3002" s="5" t="s">
        <v>922</v>
      </c>
      <c r="E3002" s="55" t="s">
        <v>201</v>
      </c>
      <c r="F3002" s="55"/>
      <c r="G3002" s="24">
        <v>0</v>
      </c>
      <c r="H3002" s="24">
        <v>335000</v>
      </c>
      <c r="I3002" s="24">
        <f t="shared" si="147"/>
        <v>335000</v>
      </c>
    </row>
    <row r="3003" spans="4:9" ht="12.75">
      <c r="D3003" s="5" t="s">
        <v>913</v>
      </c>
      <c r="E3003" s="55" t="s">
        <v>881</v>
      </c>
      <c r="F3003" s="55"/>
      <c r="G3003" s="24">
        <v>3334000</v>
      </c>
      <c r="H3003" s="24">
        <v>300000</v>
      </c>
      <c r="I3003" s="24">
        <f t="shared" si="147"/>
        <v>3634000</v>
      </c>
    </row>
    <row r="3004" spans="4:9" ht="12.75">
      <c r="D3004" s="5" t="s">
        <v>915</v>
      </c>
      <c r="E3004" s="55" t="s">
        <v>879</v>
      </c>
      <c r="F3004" s="55"/>
      <c r="G3004" s="24">
        <v>250000</v>
      </c>
      <c r="H3004" s="24">
        <v>225000</v>
      </c>
      <c r="I3004" s="24">
        <f t="shared" si="147"/>
        <v>475000</v>
      </c>
    </row>
    <row r="3005" spans="4:9" ht="12.75">
      <c r="D3005" s="5" t="s">
        <v>916</v>
      </c>
      <c r="E3005" s="55" t="s">
        <v>882</v>
      </c>
      <c r="F3005" s="55"/>
      <c r="G3005" s="24">
        <v>840000</v>
      </c>
      <c r="H3005" s="24">
        <v>1425000</v>
      </c>
      <c r="I3005" s="24">
        <f t="shared" si="147"/>
        <v>2265000</v>
      </c>
    </row>
    <row r="3006" spans="4:9" ht="12.75">
      <c r="D3006" s="5" t="s">
        <v>923</v>
      </c>
      <c r="E3006" s="55" t="s">
        <v>883</v>
      </c>
      <c r="F3006" s="55"/>
      <c r="G3006" s="24">
        <v>0</v>
      </c>
      <c r="H3006" s="24">
        <v>200000</v>
      </c>
      <c r="I3006" s="24">
        <f t="shared" si="147"/>
        <v>200000</v>
      </c>
    </row>
    <row r="3007" spans="4:9" ht="12.75">
      <c r="D3007" s="5" t="s">
        <v>924</v>
      </c>
      <c r="E3007" s="55" t="s">
        <v>203</v>
      </c>
      <c r="F3007" s="55"/>
      <c r="G3007" s="24">
        <v>2300000</v>
      </c>
      <c r="H3007" s="24">
        <v>11883878.97</v>
      </c>
      <c r="I3007" s="24">
        <f t="shared" si="147"/>
        <v>14183878.97</v>
      </c>
    </row>
    <row r="3008" spans="4:9" ht="12.75">
      <c r="D3008" s="5" t="s">
        <v>925</v>
      </c>
      <c r="E3008" s="55" t="s">
        <v>884</v>
      </c>
      <c r="F3008" s="55"/>
      <c r="G3008" s="24">
        <v>7000000</v>
      </c>
      <c r="H3008" s="24">
        <v>3185000</v>
      </c>
      <c r="I3008" s="24">
        <f t="shared" si="147"/>
        <v>10185000</v>
      </c>
    </row>
    <row r="3009" spans="4:8" ht="12.75">
      <c r="D3009" s="5" t="s">
        <v>697</v>
      </c>
      <c r="E3009" s="55" t="s">
        <v>698</v>
      </c>
      <c r="F3009" s="55"/>
      <c r="H3009" s="24">
        <v>40000</v>
      </c>
    </row>
    <row r="3010" spans="4:9" ht="12.75">
      <c r="D3010" s="5" t="s">
        <v>754</v>
      </c>
      <c r="E3010" s="55" t="s">
        <v>212</v>
      </c>
      <c r="F3010" s="55"/>
      <c r="G3010" s="24">
        <v>0</v>
      </c>
      <c r="H3010" s="24">
        <v>375000</v>
      </c>
      <c r="I3010" s="24">
        <f>G3010+H3010</f>
        <v>375000</v>
      </c>
    </row>
    <row r="3011" spans="4:8" ht="12.75">
      <c r="D3011" s="5" t="s">
        <v>757</v>
      </c>
      <c r="E3011" s="55" t="s">
        <v>696</v>
      </c>
      <c r="F3011" s="55"/>
      <c r="H3011" s="24">
        <v>10000</v>
      </c>
    </row>
    <row r="3012" spans="4:9" ht="12.75">
      <c r="D3012" s="5" t="s">
        <v>926</v>
      </c>
      <c r="E3012" s="55" t="s">
        <v>885</v>
      </c>
      <c r="F3012" s="55"/>
      <c r="G3012" s="24">
        <v>0</v>
      </c>
      <c r="H3012" s="24">
        <v>200000</v>
      </c>
      <c r="I3012" s="24">
        <f>G3012+H3012</f>
        <v>200000</v>
      </c>
    </row>
    <row r="3013" spans="4:9" ht="12.75">
      <c r="D3013" s="5" t="s">
        <v>927</v>
      </c>
      <c r="E3013" s="55" t="s">
        <v>886</v>
      </c>
      <c r="F3013" s="55"/>
      <c r="G3013" s="24">
        <v>0</v>
      </c>
      <c r="H3013" s="24">
        <v>3102458.12</v>
      </c>
      <c r="I3013" s="24">
        <f>G3013+H3013</f>
        <v>3102458.12</v>
      </c>
    </row>
    <row r="3014" spans="4:8" ht="12.75">
      <c r="D3014" s="5" t="s">
        <v>269</v>
      </c>
      <c r="E3014" s="55" t="s">
        <v>270</v>
      </c>
      <c r="F3014" s="55"/>
      <c r="H3014" s="24">
        <v>120000</v>
      </c>
    </row>
    <row r="3015" spans="4:9" ht="13.5" thickBot="1">
      <c r="D3015" s="5" t="s">
        <v>214</v>
      </c>
      <c r="E3015" s="55" t="s">
        <v>215</v>
      </c>
      <c r="F3015" s="55"/>
      <c r="G3015" s="24">
        <v>0</v>
      </c>
      <c r="H3015" s="24">
        <v>340000</v>
      </c>
      <c r="I3015" s="24">
        <f>G3015+H3015</f>
        <v>340000</v>
      </c>
    </row>
    <row r="3016" spans="5:9" ht="12.75">
      <c r="E3016" s="58" t="s">
        <v>712</v>
      </c>
      <c r="F3016" s="58"/>
      <c r="G3016" s="25"/>
      <c r="H3016" s="25"/>
      <c r="I3016" s="25"/>
    </row>
    <row r="3017" spans="4:9" ht="12.75">
      <c r="D3017" s="5" t="s">
        <v>772</v>
      </c>
      <c r="E3017" s="55" t="s">
        <v>773</v>
      </c>
      <c r="F3017" s="55"/>
      <c r="G3017" s="24">
        <f>SUM(G2998:G3016)</f>
        <v>74478000</v>
      </c>
      <c r="I3017" s="24">
        <f>G3017+H3017</f>
        <v>74478000</v>
      </c>
    </row>
    <row r="3018" spans="4:9" ht="12.75">
      <c r="D3018" s="5" t="s">
        <v>784</v>
      </c>
      <c r="E3018" s="55" t="s">
        <v>785</v>
      </c>
      <c r="F3018" s="55"/>
      <c r="H3018" s="24">
        <v>12090000</v>
      </c>
      <c r="I3018" s="24">
        <f>G3018+H3018</f>
        <v>12090000</v>
      </c>
    </row>
    <row r="3019" spans="4:9" ht="13.5" thickBot="1">
      <c r="D3019" s="5" t="s">
        <v>825</v>
      </c>
      <c r="E3019" s="55" t="s">
        <v>905</v>
      </c>
      <c r="F3019" s="55"/>
      <c r="H3019" s="24">
        <v>10911337.09</v>
      </c>
      <c r="I3019" s="24">
        <f>G3019+H3019</f>
        <v>10911337.09</v>
      </c>
    </row>
    <row r="3020" spans="5:9" ht="13.5" thickBot="1">
      <c r="E3020" s="56" t="s">
        <v>713</v>
      </c>
      <c r="F3020" s="56"/>
      <c r="G3020" s="26">
        <f>SUM(G3017:G3019)</f>
        <v>74478000</v>
      </c>
      <c r="H3020" s="26">
        <f>SUM(H3017:H3019)</f>
        <v>23001337.09</v>
      </c>
      <c r="I3020" s="26">
        <f>G3020+H3020</f>
        <v>97479337.09</v>
      </c>
    </row>
    <row r="3021" spans="5:9" ht="12.75">
      <c r="E3021" s="58" t="s">
        <v>429</v>
      </c>
      <c r="F3021" s="58"/>
      <c r="G3021" s="25"/>
      <c r="H3021" s="25"/>
      <c r="I3021" s="25"/>
    </row>
    <row r="3022" spans="4:9" ht="12.75">
      <c r="D3022" s="5" t="s">
        <v>772</v>
      </c>
      <c r="E3022" s="55" t="s">
        <v>773</v>
      </c>
      <c r="F3022" s="55"/>
      <c r="G3022" s="24">
        <f>+G3017</f>
        <v>74478000</v>
      </c>
      <c r="H3022" s="24">
        <v>0</v>
      </c>
      <c r="I3022" s="24">
        <f>G3022+H3022</f>
        <v>74478000</v>
      </c>
    </row>
    <row r="3023" spans="4:9" ht="12.75">
      <c r="D3023" s="5" t="s">
        <v>784</v>
      </c>
      <c r="E3023" s="55" t="s">
        <v>785</v>
      </c>
      <c r="F3023" s="55"/>
      <c r="G3023" s="24">
        <v>0</v>
      </c>
      <c r="H3023" s="24">
        <f>+H3018</f>
        <v>12090000</v>
      </c>
      <c r="I3023" s="24">
        <f>G3023+H3023</f>
        <v>12090000</v>
      </c>
    </row>
    <row r="3024" spans="4:9" ht="13.5" thickBot="1">
      <c r="D3024" s="5" t="s">
        <v>825</v>
      </c>
      <c r="E3024" s="55" t="s">
        <v>905</v>
      </c>
      <c r="F3024" s="55"/>
      <c r="G3024" s="24">
        <v>0</v>
      </c>
      <c r="H3024" s="24">
        <f>+H3019</f>
        <v>10911337.09</v>
      </c>
      <c r="I3024" s="24">
        <f>G3024+H3024</f>
        <v>10911337.09</v>
      </c>
    </row>
    <row r="3025" spans="5:9" ht="13.5" thickBot="1">
      <c r="E3025" s="56" t="s">
        <v>430</v>
      </c>
      <c r="F3025" s="56"/>
      <c r="G3025" s="26">
        <f>SUM(G3022:G3024)</f>
        <v>74478000</v>
      </c>
      <c r="H3025" s="26">
        <f>SUM(H3022:H3024)</f>
        <v>23001337.09</v>
      </c>
      <c r="I3025" s="26">
        <f>G3025+H3025</f>
        <v>97479337.09</v>
      </c>
    </row>
    <row r="3026" spans="5:9" ht="12.75">
      <c r="E3026" s="12"/>
      <c r="F3026" s="12"/>
      <c r="G3026" s="29"/>
      <c r="H3026" s="29"/>
      <c r="I3026" s="29"/>
    </row>
    <row r="3027" spans="1:6" ht="12.75">
      <c r="A3027" s="8">
        <v>44</v>
      </c>
      <c r="B3027" s="9" t="s">
        <v>766</v>
      </c>
      <c r="C3027" s="8"/>
      <c r="D3027" s="9"/>
      <c r="E3027" s="57" t="s">
        <v>300</v>
      </c>
      <c r="F3027" s="57"/>
    </row>
    <row r="3028" spans="1:6" ht="26.25" customHeight="1">
      <c r="A3028" s="8"/>
      <c r="B3028" s="9"/>
      <c r="C3028" s="8" t="s">
        <v>802</v>
      </c>
      <c r="D3028" s="9"/>
      <c r="E3028" s="57" t="s">
        <v>803</v>
      </c>
      <c r="F3028" s="57"/>
    </row>
    <row r="3029" spans="4:9" ht="12.75">
      <c r="D3029" s="5" t="s">
        <v>911</v>
      </c>
      <c r="E3029" s="55" t="s">
        <v>199</v>
      </c>
      <c r="F3029" s="55"/>
      <c r="G3029" s="24">
        <v>15426000</v>
      </c>
      <c r="H3029" s="24">
        <v>0</v>
      </c>
      <c r="I3029" s="24">
        <f aca="true" t="shared" si="148" ref="I3029:I3041">G3029+H3029</f>
        <v>15426000</v>
      </c>
    </row>
    <row r="3030" spans="4:9" ht="12.75">
      <c r="D3030" s="5" t="s">
        <v>912</v>
      </c>
      <c r="E3030" s="55" t="s">
        <v>877</v>
      </c>
      <c r="F3030" s="55"/>
      <c r="G3030" s="24">
        <v>2745000</v>
      </c>
      <c r="H3030" s="24">
        <v>0</v>
      </c>
      <c r="I3030" s="24">
        <f t="shared" si="148"/>
        <v>2745000</v>
      </c>
    </row>
    <row r="3031" spans="4:9" ht="12.75">
      <c r="D3031" s="5" t="s">
        <v>921</v>
      </c>
      <c r="E3031" s="55" t="s">
        <v>880</v>
      </c>
      <c r="F3031" s="55"/>
      <c r="G3031" s="24">
        <v>50000</v>
      </c>
      <c r="H3031" s="24">
        <v>100000</v>
      </c>
      <c r="I3031" s="24">
        <f t="shared" si="148"/>
        <v>150000</v>
      </c>
    </row>
    <row r="3032" spans="4:9" ht="12.75">
      <c r="D3032" s="5" t="s">
        <v>919</v>
      </c>
      <c r="E3032" s="55" t="s">
        <v>200</v>
      </c>
      <c r="F3032" s="55"/>
      <c r="G3032" s="24">
        <f>507000+55000</f>
        <v>562000</v>
      </c>
      <c r="H3032" s="24">
        <v>15000</v>
      </c>
      <c r="I3032" s="24">
        <f t="shared" si="148"/>
        <v>577000</v>
      </c>
    </row>
    <row r="3033" spans="4:9" ht="12.75">
      <c r="D3033" s="5" t="s">
        <v>922</v>
      </c>
      <c r="E3033" s="55" t="s">
        <v>201</v>
      </c>
      <c r="F3033" s="55"/>
      <c r="G3033" s="24">
        <v>0</v>
      </c>
      <c r="H3033" s="24">
        <v>132000</v>
      </c>
      <c r="I3033" s="24">
        <f t="shared" si="148"/>
        <v>132000</v>
      </c>
    </row>
    <row r="3034" spans="4:9" ht="12.75">
      <c r="D3034" s="5" t="s">
        <v>913</v>
      </c>
      <c r="E3034" s="55" t="s">
        <v>881</v>
      </c>
      <c r="F3034" s="55"/>
      <c r="G3034" s="24">
        <v>2530000</v>
      </c>
      <c r="H3034" s="24">
        <v>50000</v>
      </c>
      <c r="I3034" s="24">
        <f t="shared" si="148"/>
        <v>2580000</v>
      </c>
    </row>
    <row r="3035" spans="4:9" ht="12.75">
      <c r="D3035" s="5" t="s">
        <v>915</v>
      </c>
      <c r="E3035" s="55" t="s">
        <v>879</v>
      </c>
      <c r="F3035" s="55"/>
      <c r="G3035" s="24">
        <v>100000</v>
      </c>
      <c r="H3035" s="24">
        <v>499770</v>
      </c>
      <c r="I3035" s="24">
        <f t="shared" si="148"/>
        <v>599770</v>
      </c>
    </row>
    <row r="3036" spans="4:9" ht="12.75">
      <c r="D3036" s="5" t="s">
        <v>916</v>
      </c>
      <c r="E3036" s="55" t="s">
        <v>882</v>
      </c>
      <c r="F3036" s="55"/>
      <c r="G3036" s="24">
        <v>100000</v>
      </c>
      <c r="H3036" s="24">
        <v>365774.38</v>
      </c>
      <c r="I3036" s="24">
        <f t="shared" si="148"/>
        <v>465774.38</v>
      </c>
    </row>
    <row r="3037" spans="4:9" ht="12.75">
      <c r="D3037" s="5" t="s">
        <v>923</v>
      </c>
      <c r="E3037" s="55" t="s">
        <v>883</v>
      </c>
      <c r="F3037" s="55"/>
      <c r="G3037" s="24">
        <v>54000</v>
      </c>
      <c r="H3037" s="24">
        <v>10000</v>
      </c>
      <c r="I3037" s="24">
        <f t="shared" si="148"/>
        <v>64000</v>
      </c>
    </row>
    <row r="3038" spans="4:9" ht="12.75">
      <c r="D3038" s="5" t="s">
        <v>924</v>
      </c>
      <c r="E3038" s="55" t="s">
        <v>203</v>
      </c>
      <c r="F3038" s="55"/>
      <c r="G3038" s="24">
        <v>223000</v>
      </c>
      <c r="H3038" s="24">
        <v>0</v>
      </c>
      <c r="I3038" s="24">
        <f t="shared" si="148"/>
        <v>223000</v>
      </c>
    </row>
    <row r="3039" spans="4:9" ht="12.75">
      <c r="D3039" s="5" t="s">
        <v>925</v>
      </c>
      <c r="E3039" s="55" t="s">
        <v>884</v>
      </c>
      <c r="F3039" s="55"/>
      <c r="G3039" s="24">
        <v>506000</v>
      </c>
      <c r="H3039" s="24">
        <v>0</v>
      </c>
      <c r="I3039" s="24">
        <f t="shared" si="148"/>
        <v>506000</v>
      </c>
    </row>
    <row r="3040" spans="4:9" ht="12.75">
      <c r="D3040" s="5" t="s">
        <v>754</v>
      </c>
      <c r="E3040" s="55" t="s">
        <v>212</v>
      </c>
      <c r="F3040" s="55"/>
      <c r="G3040" s="24">
        <v>122000</v>
      </c>
      <c r="H3040" s="24">
        <v>343000</v>
      </c>
      <c r="I3040" s="24">
        <f t="shared" si="148"/>
        <v>465000</v>
      </c>
    </row>
    <row r="3041" spans="4:9" ht="13.5" thickBot="1">
      <c r="D3041" s="5" t="s">
        <v>927</v>
      </c>
      <c r="E3041" s="55" t="s">
        <v>886</v>
      </c>
      <c r="F3041" s="55"/>
      <c r="G3041" s="24">
        <v>0</v>
      </c>
      <c r="H3041" s="24">
        <v>750000</v>
      </c>
      <c r="I3041" s="24">
        <f t="shared" si="148"/>
        <v>750000</v>
      </c>
    </row>
    <row r="3042" spans="5:9" ht="12.75">
      <c r="E3042" s="58" t="s">
        <v>32</v>
      </c>
      <c r="F3042" s="58"/>
      <c r="G3042" s="25"/>
      <c r="H3042" s="25"/>
      <c r="I3042" s="25"/>
    </row>
    <row r="3043" spans="4:9" ht="12.75">
      <c r="D3043" s="5" t="s">
        <v>772</v>
      </c>
      <c r="E3043" s="55" t="s">
        <v>773</v>
      </c>
      <c r="F3043" s="55"/>
      <c r="G3043" s="24">
        <f>SUM(G3029:G3042)</f>
        <v>22418000</v>
      </c>
      <c r="I3043" s="24">
        <f>G3043+H3043</f>
        <v>22418000</v>
      </c>
    </row>
    <row r="3044" spans="4:9" ht="12.75">
      <c r="D3044" s="5" t="s">
        <v>784</v>
      </c>
      <c r="E3044" s="55" t="s">
        <v>785</v>
      </c>
      <c r="F3044" s="55"/>
      <c r="H3044" s="24">
        <v>2250000</v>
      </c>
      <c r="I3044" s="24">
        <f>G3044+H3044</f>
        <v>2250000</v>
      </c>
    </row>
    <row r="3045" spans="4:9" ht="13.5" thickBot="1">
      <c r="D3045" s="5" t="s">
        <v>825</v>
      </c>
      <c r="E3045" s="55" t="s">
        <v>905</v>
      </c>
      <c r="F3045" s="55"/>
      <c r="H3045" s="24">
        <v>15544.38</v>
      </c>
      <c r="I3045" s="24">
        <f>G3045+H3045</f>
        <v>15544.38</v>
      </c>
    </row>
    <row r="3046" spans="5:9" ht="13.5" thickBot="1">
      <c r="E3046" s="56" t="s">
        <v>33</v>
      </c>
      <c r="F3046" s="56"/>
      <c r="G3046" s="26">
        <f>SUM(G3043:G3045)</f>
        <v>22418000</v>
      </c>
      <c r="H3046" s="26">
        <f>SUM(H3043:H3045)</f>
        <v>2265544.38</v>
      </c>
      <c r="I3046" s="26">
        <f>G3046+H3046</f>
        <v>24683544.38</v>
      </c>
    </row>
    <row r="3047" spans="5:9" ht="12.75">
      <c r="E3047" s="58" t="s">
        <v>190</v>
      </c>
      <c r="F3047" s="58"/>
      <c r="G3047" s="25"/>
      <c r="H3047" s="25"/>
      <c r="I3047" s="25"/>
    </row>
    <row r="3048" spans="4:9" ht="12.75">
      <c r="D3048" s="5" t="s">
        <v>772</v>
      </c>
      <c r="E3048" s="55" t="s">
        <v>773</v>
      </c>
      <c r="F3048" s="55"/>
      <c r="G3048" s="24">
        <f>+G3043</f>
        <v>22418000</v>
      </c>
      <c r="H3048" s="24">
        <v>0</v>
      </c>
      <c r="I3048" s="24">
        <f>G3048+H3048</f>
        <v>22418000</v>
      </c>
    </row>
    <row r="3049" spans="4:9" ht="12.75">
      <c r="D3049" s="5" t="s">
        <v>784</v>
      </c>
      <c r="E3049" s="55" t="s">
        <v>785</v>
      </c>
      <c r="F3049" s="55"/>
      <c r="G3049" s="24">
        <v>0</v>
      </c>
      <c r="H3049" s="24">
        <f>+H3044</f>
        <v>2250000</v>
      </c>
      <c r="I3049" s="24">
        <f>G3049+H3049</f>
        <v>2250000</v>
      </c>
    </row>
    <row r="3050" spans="4:9" ht="13.5" thickBot="1">
      <c r="D3050" s="5" t="s">
        <v>825</v>
      </c>
      <c r="E3050" s="55" t="s">
        <v>905</v>
      </c>
      <c r="F3050" s="55"/>
      <c r="G3050" s="24">
        <v>0</v>
      </c>
      <c r="H3050" s="24">
        <f>+H3045</f>
        <v>15544.38</v>
      </c>
      <c r="I3050" s="24">
        <f>G3050+H3050</f>
        <v>15544.38</v>
      </c>
    </row>
    <row r="3051" spans="5:9" ht="13.5" thickBot="1">
      <c r="E3051" s="56" t="s">
        <v>191</v>
      </c>
      <c r="F3051" s="56"/>
      <c r="G3051" s="26">
        <f>SUM(G3048:G3050)</f>
        <v>22418000</v>
      </c>
      <c r="H3051" s="26">
        <f>SUM(H3048:H3050)</f>
        <v>2265544.38</v>
      </c>
      <c r="I3051" s="26">
        <f>G3051+H3051</f>
        <v>24683544.38</v>
      </c>
    </row>
    <row r="3052" ht="9" customHeight="1"/>
    <row r="3053" spans="1:6" ht="12.75">
      <c r="A3053" s="8">
        <v>45</v>
      </c>
      <c r="B3053" s="9" t="s">
        <v>766</v>
      </c>
      <c r="C3053" s="8"/>
      <c r="D3053" s="9"/>
      <c r="E3053" s="57" t="s">
        <v>298</v>
      </c>
      <c r="F3053" s="57"/>
    </row>
    <row r="3054" spans="1:6" ht="27" customHeight="1">
      <c r="A3054" s="8"/>
      <c r="B3054" s="9"/>
      <c r="C3054" s="8" t="s">
        <v>802</v>
      </c>
      <c r="D3054" s="9"/>
      <c r="E3054" s="57" t="s">
        <v>803</v>
      </c>
      <c r="F3054" s="57"/>
    </row>
    <row r="3055" spans="4:9" ht="12.75">
      <c r="D3055" s="5" t="s">
        <v>911</v>
      </c>
      <c r="E3055" s="55" t="s">
        <v>199</v>
      </c>
      <c r="F3055" s="55"/>
      <c r="G3055" s="24">
        <v>173000</v>
      </c>
      <c r="H3055" s="24">
        <v>0</v>
      </c>
      <c r="I3055" s="24">
        <f aca="true" t="shared" si="149" ref="I3055:I3060">G3055+H3055</f>
        <v>173000</v>
      </c>
    </row>
    <row r="3056" spans="4:9" ht="12.75">
      <c r="D3056" s="5" t="s">
        <v>912</v>
      </c>
      <c r="E3056" s="55" t="s">
        <v>877</v>
      </c>
      <c r="F3056" s="55"/>
      <c r="G3056" s="24">
        <v>31000</v>
      </c>
      <c r="H3056" s="24">
        <v>0</v>
      </c>
      <c r="I3056" s="24">
        <f t="shared" si="149"/>
        <v>31000</v>
      </c>
    </row>
    <row r="3057" spans="4:9" ht="12.75">
      <c r="D3057" s="5" t="s">
        <v>913</v>
      </c>
      <c r="E3057" s="55" t="s">
        <v>881</v>
      </c>
      <c r="F3057" s="55"/>
      <c r="G3057" s="24">
        <v>5000</v>
      </c>
      <c r="H3057" s="24">
        <v>0</v>
      </c>
      <c r="I3057" s="24">
        <f t="shared" si="149"/>
        <v>5000</v>
      </c>
    </row>
    <row r="3058" spans="4:9" ht="12.75">
      <c r="D3058" s="5" t="s">
        <v>915</v>
      </c>
      <c r="E3058" s="55" t="s">
        <v>879</v>
      </c>
      <c r="F3058" s="55"/>
      <c r="G3058" s="24">
        <v>6000</v>
      </c>
      <c r="H3058" s="24">
        <v>0</v>
      </c>
      <c r="I3058" s="24">
        <f t="shared" si="149"/>
        <v>6000</v>
      </c>
    </row>
    <row r="3059" spans="4:9" ht="12.75">
      <c r="D3059" s="5" t="s">
        <v>916</v>
      </c>
      <c r="E3059" s="55" t="s">
        <v>882</v>
      </c>
      <c r="F3059" s="55"/>
      <c r="G3059" s="24">
        <v>4000</v>
      </c>
      <c r="H3059" s="24">
        <v>0</v>
      </c>
      <c r="I3059" s="24">
        <f t="shared" si="149"/>
        <v>4000</v>
      </c>
    </row>
    <row r="3060" spans="4:9" ht="13.5" thickBot="1">
      <c r="D3060" s="5" t="s">
        <v>927</v>
      </c>
      <c r="E3060" s="55" t="s">
        <v>886</v>
      </c>
      <c r="F3060" s="55"/>
      <c r="G3060" s="24">
        <v>10000</v>
      </c>
      <c r="H3060" s="24">
        <v>0</v>
      </c>
      <c r="I3060" s="24">
        <f t="shared" si="149"/>
        <v>10000</v>
      </c>
    </row>
    <row r="3061" spans="5:9" ht="12.75">
      <c r="E3061" s="58" t="s">
        <v>32</v>
      </c>
      <c r="F3061" s="58"/>
      <c r="G3061" s="25"/>
      <c r="H3061" s="25"/>
      <c r="I3061" s="25"/>
    </row>
    <row r="3062" spans="4:9" ht="13.5" thickBot="1">
      <c r="D3062" s="5" t="s">
        <v>772</v>
      </c>
      <c r="E3062" s="55" t="s">
        <v>773</v>
      </c>
      <c r="F3062" s="55"/>
      <c r="G3062" s="24">
        <f>SUM(G3055:G3061)</f>
        <v>229000</v>
      </c>
      <c r="I3062" s="24">
        <f>G3062+H3062</f>
        <v>229000</v>
      </c>
    </row>
    <row r="3063" spans="5:9" ht="13.5" thickBot="1">
      <c r="E3063" s="56" t="s">
        <v>33</v>
      </c>
      <c r="F3063" s="56"/>
      <c r="G3063" s="26">
        <f>SUM(G3062:G3062)</f>
        <v>229000</v>
      </c>
      <c r="H3063" s="26">
        <f>SUM(H3062:H3062)</f>
        <v>0</v>
      </c>
      <c r="I3063" s="26">
        <f>G3063+H3063</f>
        <v>229000</v>
      </c>
    </row>
    <row r="3064" spans="5:9" ht="12.75">
      <c r="E3064" s="58" t="s">
        <v>192</v>
      </c>
      <c r="F3064" s="58"/>
      <c r="G3064" s="25"/>
      <c r="H3064" s="25"/>
      <c r="I3064" s="25"/>
    </row>
    <row r="3065" spans="4:9" ht="13.5" thickBot="1">
      <c r="D3065" s="5" t="s">
        <v>772</v>
      </c>
      <c r="E3065" s="55" t="s">
        <v>773</v>
      </c>
      <c r="F3065" s="55"/>
      <c r="G3065" s="24">
        <f>+G3062</f>
        <v>229000</v>
      </c>
      <c r="H3065" s="24">
        <v>0</v>
      </c>
      <c r="I3065" s="24">
        <f>G3065+H3065</f>
        <v>229000</v>
      </c>
    </row>
    <row r="3066" spans="5:9" ht="13.5" thickBot="1">
      <c r="E3066" s="56" t="s">
        <v>193</v>
      </c>
      <c r="F3066" s="56"/>
      <c r="G3066" s="26">
        <f>SUM(G3065:G3065)</f>
        <v>229000</v>
      </c>
      <c r="H3066" s="26">
        <f>SUM(H3065:H3065)</f>
        <v>0</v>
      </c>
      <c r="I3066" s="26">
        <f>G3066+H3066</f>
        <v>229000</v>
      </c>
    </row>
    <row r="3067" spans="5:9" ht="9" customHeight="1">
      <c r="E3067" s="12"/>
      <c r="F3067" s="12"/>
      <c r="G3067" s="29"/>
      <c r="H3067" s="29"/>
      <c r="I3067" s="29"/>
    </row>
    <row r="3068" spans="1:6" ht="12.75">
      <c r="A3068" s="8">
        <v>46</v>
      </c>
      <c r="B3068" s="9" t="s">
        <v>766</v>
      </c>
      <c r="C3068" s="8"/>
      <c r="D3068" s="9"/>
      <c r="E3068" s="57" t="s">
        <v>295</v>
      </c>
      <c r="F3068" s="57"/>
    </row>
    <row r="3069" spans="1:6" ht="12.75">
      <c r="A3069" s="8"/>
      <c r="B3069" s="9"/>
      <c r="C3069" s="8" t="s">
        <v>845</v>
      </c>
      <c r="D3069" s="9"/>
      <c r="E3069" s="57" t="s">
        <v>846</v>
      </c>
      <c r="F3069" s="57"/>
    </row>
    <row r="3070" spans="4:9" ht="12.75">
      <c r="D3070" s="5" t="s">
        <v>911</v>
      </c>
      <c r="E3070" s="55" t="s">
        <v>199</v>
      </c>
      <c r="F3070" s="55"/>
      <c r="G3070" s="24">
        <v>53582000</v>
      </c>
      <c r="H3070" s="24">
        <v>0</v>
      </c>
      <c r="I3070" s="24">
        <f aca="true" t="shared" si="150" ref="I3070:I3083">G3070+H3070</f>
        <v>53582000</v>
      </c>
    </row>
    <row r="3071" spans="4:9" ht="12.75">
      <c r="D3071" s="5" t="s">
        <v>912</v>
      </c>
      <c r="E3071" s="55" t="s">
        <v>877</v>
      </c>
      <c r="F3071" s="55"/>
      <c r="G3071" s="24">
        <v>9575000</v>
      </c>
      <c r="H3071" s="24">
        <v>0</v>
      </c>
      <c r="I3071" s="24">
        <f t="shared" si="150"/>
        <v>9575000</v>
      </c>
    </row>
    <row r="3072" spans="4:9" ht="12.75">
      <c r="D3072" s="5" t="s">
        <v>921</v>
      </c>
      <c r="E3072" s="55" t="s">
        <v>880</v>
      </c>
      <c r="F3072" s="55"/>
      <c r="G3072" s="24">
        <v>250000</v>
      </c>
      <c r="H3072" s="24">
        <v>250000</v>
      </c>
      <c r="I3072" s="24">
        <f t="shared" si="150"/>
        <v>500000</v>
      </c>
    </row>
    <row r="3073" spans="4:9" ht="12.75">
      <c r="D3073" s="5" t="s">
        <v>919</v>
      </c>
      <c r="E3073" s="55" t="s">
        <v>200</v>
      </c>
      <c r="F3073" s="55"/>
      <c r="G3073" s="24">
        <v>500000</v>
      </c>
      <c r="H3073" s="24">
        <v>0</v>
      </c>
      <c r="I3073" s="24">
        <f t="shared" si="150"/>
        <v>500000</v>
      </c>
    </row>
    <row r="3074" spans="4:9" ht="12.75">
      <c r="D3074" s="5" t="s">
        <v>913</v>
      </c>
      <c r="E3074" s="55" t="s">
        <v>881</v>
      </c>
      <c r="F3074" s="55"/>
      <c r="G3074" s="24">
        <v>3000000</v>
      </c>
      <c r="H3074" s="24">
        <v>1875000</v>
      </c>
      <c r="I3074" s="24">
        <f t="shared" si="150"/>
        <v>4875000</v>
      </c>
    </row>
    <row r="3075" spans="4:9" ht="12.75">
      <c r="D3075" s="5" t="s">
        <v>915</v>
      </c>
      <c r="E3075" s="55" t="s">
        <v>879</v>
      </c>
      <c r="F3075" s="55"/>
      <c r="G3075" s="24">
        <v>100000</v>
      </c>
      <c r="H3075" s="24">
        <v>425000</v>
      </c>
      <c r="I3075" s="24">
        <f t="shared" si="150"/>
        <v>525000</v>
      </c>
    </row>
    <row r="3076" spans="4:9" ht="12.75">
      <c r="D3076" s="5" t="s">
        <v>916</v>
      </c>
      <c r="E3076" s="55" t="s">
        <v>882</v>
      </c>
      <c r="F3076" s="55"/>
      <c r="G3076" s="24">
        <v>960000</v>
      </c>
      <c r="H3076" s="24">
        <v>975000</v>
      </c>
      <c r="I3076" s="24">
        <f t="shared" si="150"/>
        <v>1935000</v>
      </c>
    </row>
    <row r="3077" spans="4:9" ht="12.75">
      <c r="D3077" s="5" t="s">
        <v>923</v>
      </c>
      <c r="E3077" s="55" t="s">
        <v>883</v>
      </c>
      <c r="F3077" s="55"/>
      <c r="G3077" s="24">
        <v>100000</v>
      </c>
      <c r="H3077" s="24">
        <v>1275000</v>
      </c>
      <c r="I3077" s="24">
        <f t="shared" si="150"/>
        <v>1375000</v>
      </c>
    </row>
    <row r="3078" spans="4:9" ht="12.75">
      <c r="D3078" s="5" t="s">
        <v>924</v>
      </c>
      <c r="E3078" s="55" t="s">
        <v>203</v>
      </c>
      <c r="F3078" s="55"/>
      <c r="G3078" s="24">
        <v>1050000</v>
      </c>
      <c r="H3078" s="24">
        <v>0</v>
      </c>
      <c r="I3078" s="24">
        <f t="shared" si="150"/>
        <v>1050000</v>
      </c>
    </row>
    <row r="3079" spans="4:9" ht="12.75">
      <c r="D3079" s="5" t="s">
        <v>925</v>
      </c>
      <c r="E3079" s="55" t="s">
        <v>884</v>
      </c>
      <c r="F3079" s="55"/>
      <c r="G3079" s="24">
        <v>520000</v>
      </c>
      <c r="H3079" s="24">
        <v>425000</v>
      </c>
      <c r="I3079" s="24">
        <f t="shared" si="150"/>
        <v>945000</v>
      </c>
    </row>
    <row r="3080" spans="4:9" ht="12.75">
      <c r="D3080" s="5" t="s">
        <v>750</v>
      </c>
      <c r="E3080" s="55" t="s">
        <v>887</v>
      </c>
      <c r="F3080" s="55"/>
      <c r="G3080" s="24">
        <f>18700000+5000000</f>
        <v>23700000</v>
      </c>
      <c r="H3080" s="24">
        <v>0</v>
      </c>
      <c r="I3080" s="24">
        <f t="shared" si="150"/>
        <v>23700000</v>
      </c>
    </row>
    <row r="3081" spans="4:9" ht="12.75">
      <c r="D3081" s="5" t="s">
        <v>754</v>
      </c>
      <c r="E3081" s="55" t="s">
        <v>212</v>
      </c>
      <c r="F3081" s="55"/>
      <c r="G3081" s="24">
        <v>0</v>
      </c>
      <c r="H3081" s="24">
        <v>500000</v>
      </c>
      <c r="I3081" s="24">
        <f t="shared" si="150"/>
        <v>500000</v>
      </c>
    </row>
    <row r="3082" spans="4:9" ht="12.75">
      <c r="D3082" s="5" t="s">
        <v>926</v>
      </c>
      <c r="E3082" s="55" t="s">
        <v>885</v>
      </c>
      <c r="F3082" s="55"/>
      <c r="G3082" s="24">
        <v>1639000</v>
      </c>
      <c r="H3082" s="24">
        <v>0</v>
      </c>
      <c r="I3082" s="24">
        <f t="shared" si="150"/>
        <v>1639000</v>
      </c>
    </row>
    <row r="3083" spans="4:9" ht="13.5" thickBot="1">
      <c r="D3083" s="5" t="s">
        <v>927</v>
      </c>
      <c r="E3083" s="55" t="s">
        <v>886</v>
      </c>
      <c r="F3083" s="55"/>
      <c r="G3083" s="24">
        <v>2156000</v>
      </c>
      <c r="H3083" s="24">
        <v>0</v>
      </c>
      <c r="I3083" s="24">
        <f t="shared" si="150"/>
        <v>2156000</v>
      </c>
    </row>
    <row r="3084" spans="5:9" ht="12.75">
      <c r="E3084" s="58" t="s">
        <v>91</v>
      </c>
      <c r="F3084" s="58"/>
      <c r="G3084" s="25"/>
      <c r="H3084" s="25"/>
      <c r="I3084" s="25"/>
    </row>
    <row r="3085" spans="4:9" ht="12.75">
      <c r="D3085" s="5" t="s">
        <v>772</v>
      </c>
      <c r="E3085" s="55" t="s">
        <v>773</v>
      </c>
      <c r="F3085" s="55"/>
      <c r="G3085" s="24">
        <f>SUM(G3070:G3084)</f>
        <v>97132000</v>
      </c>
      <c r="I3085" s="24">
        <f>G3085+H3085</f>
        <v>97132000</v>
      </c>
    </row>
    <row r="3086" spans="4:9" ht="13.5" thickBot="1">
      <c r="D3086" s="5" t="s">
        <v>784</v>
      </c>
      <c r="E3086" s="55" t="s">
        <v>785</v>
      </c>
      <c r="F3086" s="55"/>
      <c r="H3086" s="24">
        <f>SUM(H3070:H3085)</f>
        <v>5725000</v>
      </c>
      <c r="I3086" s="24">
        <f>G3086+H3086</f>
        <v>5725000</v>
      </c>
    </row>
    <row r="3087" spans="5:9" ht="13.5" thickBot="1">
      <c r="E3087" s="56" t="s">
        <v>92</v>
      </c>
      <c r="F3087" s="56"/>
      <c r="G3087" s="26">
        <f>SUM(G3085:G3086)</f>
        <v>97132000</v>
      </c>
      <c r="H3087" s="26">
        <f>SUM(H3085:H3086)</f>
        <v>5725000</v>
      </c>
      <c r="I3087" s="26">
        <f>G3087+H3087</f>
        <v>102857000</v>
      </c>
    </row>
    <row r="3088" spans="5:9" ht="12.75">
      <c r="E3088" s="58" t="s">
        <v>196</v>
      </c>
      <c r="F3088" s="58"/>
      <c r="G3088" s="25"/>
      <c r="H3088" s="25"/>
      <c r="I3088" s="25"/>
    </row>
    <row r="3089" spans="4:9" ht="12.75">
      <c r="D3089" s="5" t="s">
        <v>772</v>
      </c>
      <c r="E3089" s="55" t="s">
        <v>773</v>
      </c>
      <c r="F3089" s="55"/>
      <c r="G3089" s="24">
        <f>+G3085</f>
        <v>97132000</v>
      </c>
      <c r="H3089" s="24">
        <v>0</v>
      </c>
      <c r="I3089" s="24">
        <f>G3089+H3089</f>
        <v>97132000</v>
      </c>
    </row>
    <row r="3090" spans="4:9" ht="13.5" thickBot="1">
      <c r="D3090" s="5" t="s">
        <v>784</v>
      </c>
      <c r="E3090" s="55" t="s">
        <v>785</v>
      </c>
      <c r="F3090" s="55"/>
      <c r="G3090" s="24">
        <v>0</v>
      </c>
      <c r="H3090" s="24">
        <f>+H3086</f>
        <v>5725000</v>
      </c>
      <c r="I3090" s="24">
        <f>G3090+H3090</f>
        <v>5725000</v>
      </c>
    </row>
    <row r="3091" spans="5:9" ht="13.5" thickBot="1">
      <c r="E3091" s="56" t="s">
        <v>197</v>
      </c>
      <c r="F3091" s="56"/>
      <c r="G3091" s="26">
        <f>SUM(G3089:G3090)</f>
        <v>97132000</v>
      </c>
      <c r="H3091" s="26">
        <f>SUM(H3089:H3090)</f>
        <v>5725000</v>
      </c>
      <c r="I3091" s="26">
        <f>G3091+H3091</f>
        <v>102857000</v>
      </c>
    </row>
    <row r="3092" ht="9.75" customHeight="1"/>
    <row r="3093" spans="1:6" ht="12.75">
      <c r="A3093" s="8">
        <v>47</v>
      </c>
      <c r="B3093" s="9" t="s">
        <v>766</v>
      </c>
      <c r="C3093" s="8"/>
      <c r="D3093" s="9"/>
      <c r="E3093" s="57" t="s">
        <v>296</v>
      </c>
      <c r="F3093" s="57"/>
    </row>
    <row r="3094" spans="1:6" ht="26.25" customHeight="1">
      <c r="A3094" s="8"/>
      <c r="B3094" s="9"/>
      <c r="C3094" s="8" t="s">
        <v>802</v>
      </c>
      <c r="D3094" s="9"/>
      <c r="E3094" s="57" t="s">
        <v>803</v>
      </c>
      <c r="F3094" s="57"/>
    </row>
    <row r="3095" spans="4:9" ht="12.75">
      <c r="D3095" s="5" t="s">
        <v>911</v>
      </c>
      <c r="E3095" s="55" t="s">
        <v>199</v>
      </c>
      <c r="F3095" s="55"/>
      <c r="G3095" s="24">
        <v>16215000</v>
      </c>
      <c r="H3095" s="24">
        <v>0</v>
      </c>
      <c r="I3095" s="24">
        <f aca="true" t="shared" si="151" ref="I3095:I3104">G3095+H3095</f>
        <v>16215000</v>
      </c>
    </row>
    <row r="3096" spans="4:9" ht="12.75">
      <c r="D3096" s="5" t="s">
        <v>912</v>
      </c>
      <c r="E3096" s="55" t="s">
        <v>877</v>
      </c>
      <c r="F3096" s="55"/>
      <c r="G3096" s="24">
        <v>2895000</v>
      </c>
      <c r="H3096" s="24">
        <v>0</v>
      </c>
      <c r="I3096" s="24">
        <f t="shared" si="151"/>
        <v>2895000</v>
      </c>
    </row>
    <row r="3097" spans="4:9" ht="12.75">
      <c r="D3097" s="5" t="s">
        <v>921</v>
      </c>
      <c r="E3097" s="55" t="s">
        <v>880</v>
      </c>
      <c r="F3097" s="55"/>
      <c r="G3097" s="24">
        <v>660000</v>
      </c>
      <c r="H3097" s="24">
        <v>0</v>
      </c>
      <c r="I3097" s="24">
        <f t="shared" si="151"/>
        <v>660000</v>
      </c>
    </row>
    <row r="3098" spans="4:9" ht="12.75">
      <c r="D3098" s="5" t="s">
        <v>919</v>
      </c>
      <c r="E3098" s="55" t="s">
        <v>200</v>
      </c>
      <c r="F3098" s="55"/>
      <c r="G3098" s="24">
        <f>188000+23000</f>
        <v>211000</v>
      </c>
      <c r="H3098" s="24">
        <v>0</v>
      </c>
      <c r="I3098" s="24">
        <f t="shared" si="151"/>
        <v>211000</v>
      </c>
    </row>
    <row r="3099" spans="4:9" ht="12.75">
      <c r="D3099" s="5" t="s">
        <v>913</v>
      </c>
      <c r="E3099" s="55" t="s">
        <v>881</v>
      </c>
      <c r="F3099" s="55"/>
      <c r="G3099" s="24">
        <v>590000</v>
      </c>
      <c r="H3099" s="24">
        <v>0</v>
      </c>
      <c r="I3099" s="24">
        <f t="shared" si="151"/>
        <v>590000</v>
      </c>
    </row>
    <row r="3100" spans="4:9" ht="12.75">
      <c r="D3100" s="5" t="s">
        <v>915</v>
      </c>
      <c r="E3100" s="55" t="s">
        <v>879</v>
      </c>
      <c r="F3100" s="55"/>
      <c r="G3100" s="24">
        <v>140000</v>
      </c>
      <c r="H3100" s="24">
        <v>0</v>
      </c>
      <c r="I3100" s="24">
        <f t="shared" si="151"/>
        <v>140000</v>
      </c>
    </row>
    <row r="3101" spans="4:9" ht="12.75">
      <c r="D3101" s="5" t="s">
        <v>916</v>
      </c>
      <c r="E3101" s="55" t="s">
        <v>882</v>
      </c>
      <c r="F3101" s="55"/>
      <c r="G3101" s="24">
        <f>664000-23000</f>
        <v>641000</v>
      </c>
      <c r="H3101" s="24">
        <v>0</v>
      </c>
      <c r="I3101" s="24">
        <f t="shared" si="151"/>
        <v>641000</v>
      </c>
    </row>
    <row r="3102" spans="4:9" ht="12.75">
      <c r="D3102" s="5" t="s">
        <v>924</v>
      </c>
      <c r="E3102" s="55" t="s">
        <v>203</v>
      </c>
      <c r="F3102" s="55"/>
      <c r="G3102" s="24">
        <v>32000</v>
      </c>
      <c r="H3102" s="24">
        <v>0</v>
      </c>
      <c r="I3102" s="24">
        <f t="shared" si="151"/>
        <v>32000</v>
      </c>
    </row>
    <row r="3103" spans="4:9" ht="12.75">
      <c r="D3103" s="5" t="s">
        <v>925</v>
      </c>
      <c r="E3103" s="55" t="s">
        <v>884</v>
      </c>
      <c r="F3103" s="55"/>
      <c r="G3103" s="24">
        <v>186000</v>
      </c>
      <c r="H3103" s="24">
        <v>0</v>
      </c>
      <c r="I3103" s="24">
        <f t="shared" si="151"/>
        <v>186000</v>
      </c>
    </row>
    <row r="3104" spans="4:9" ht="13.5" thickBot="1">
      <c r="D3104" s="5" t="s">
        <v>754</v>
      </c>
      <c r="E3104" s="55" t="s">
        <v>212</v>
      </c>
      <c r="F3104" s="55"/>
      <c r="G3104" s="24">
        <v>20000</v>
      </c>
      <c r="H3104" s="24">
        <v>0</v>
      </c>
      <c r="I3104" s="24">
        <f t="shared" si="151"/>
        <v>20000</v>
      </c>
    </row>
    <row r="3105" spans="5:9" ht="12.75">
      <c r="E3105" s="58" t="s">
        <v>32</v>
      </c>
      <c r="F3105" s="58"/>
      <c r="G3105" s="25"/>
      <c r="H3105" s="25"/>
      <c r="I3105" s="25"/>
    </row>
    <row r="3106" spans="4:9" ht="13.5" thickBot="1">
      <c r="D3106" s="5" t="s">
        <v>772</v>
      </c>
      <c r="E3106" s="55" t="s">
        <v>773</v>
      </c>
      <c r="F3106" s="55"/>
      <c r="G3106" s="24">
        <f>SUM(G3095:G3105)</f>
        <v>21590000</v>
      </c>
      <c r="I3106" s="24">
        <f>G3106+H3106</f>
        <v>21590000</v>
      </c>
    </row>
    <row r="3107" spans="5:9" ht="13.5" thickBot="1">
      <c r="E3107" s="56" t="s">
        <v>33</v>
      </c>
      <c r="F3107" s="56"/>
      <c r="G3107" s="26">
        <f>SUM(G3106:G3106)</f>
        <v>21590000</v>
      </c>
      <c r="H3107" s="26">
        <f>SUM(H3106:H3106)</f>
        <v>0</v>
      </c>
      <c r="I3107" s="26">
        <f>G3107+H3107</f>
        <v>21590000</v>
      </c>
    </row>
    <row r="3108" spans="5:9" ht="12.75">
      <c r="E3108" s="58" t="s">
        <v>198</v>
      </c>
      <c r="F3108" s="58"/>
      <c r="G3108" s="25"/>
      <c r="H3108" s="25"/>
      <c r="I3108" s="25"/>
    </row>
    <row r="3109" spans="4:9" ht="13.5" thickBot="1">
      <c r="D3109" s="5" t="s">
        <v>772</v>
      </c>
      <c r="E3109" s="55" t="s">
        <v>773</v>
      </c>
      <c r="F3109" s="55"/>
      <c r="G3109" s="24">
        <f>+G3106</f>
        <v>21590000</v>
      </c>
      <c r="H3109" s="24">
        <v>0</v>
      </c>
      <c r="I3109" s="24">
        <f>G3109+H3109</f>
        <v>21590000</v>
      </c>
    </row>
    <row r="3110" spans="5:9" ht="13.5" thickBot="1">
      <c r="E3110" s="56" t="s">
        <v>216</v>
      </c>
      <c r="F3110" s="56"/>
      <c r="G3110" s="26">
        <f>SUM(G3109:G3109)</f>
        <v>21590000</v>
      </c>
      <c r="H3110" s="26">
        <f>SUM(H3109:H3109)</f>
        <v>0</v>
      </c>
      <c r="I3110" s="26">
        <f>G3110+H3110</f>
        <v>21590000</v>
      </c>
    </row>
    <row r="3112" spans="1:6" ht="27" customHeight="1">
      <c r="A3112" s="8">
        <v>48</v>
      </c>
      <c r="B3112" s="9" t="s">
        <v>766</v>
      </c>
      <c r="C3112" s="8"/>
      <c r="D3112" s="9"/>
      <c r="E3112" s="57" t="s">
        <v>297</v>
      </c>
      <c r="F3112" s="57"/>
    </row>
    <row r="3113" spans="1:6" ht="12.75">
      <c r="A3113" s="8"/>
      <c r="B3113" s="9"/>
      <c r="C3113" s="8" t="s">
        <v>788</v>
      </c>
      <c r="D3113" s="9"/>
      <c r="E3113" s="57" t="s">
        <v>789</v>
      </c>
      <c r="F3113" s="57"/>
    </row>
    <row r="3114" spans="4:9" ht="12.75">
      <c r="D3114" s="5" t="s">
        <v>913</v>
      </c>
      <c r="E3114" s="55" t="s">
        <v>881</v>
      </c>
      <c r="F3114" s="55"/>
      <c r="G3114" s="24">
        <v>10000</v>
      </c>
      <c r="H3114" s="24">
        <v>0</v>
      </c>
      <c r="I3114" s="24">
        <f>G3114+H3114</f>
        <v>10000</v>
      </c>
    </row>
    <row r="3115" spans="4:9" ht="12.75">
      <c r="D3115" s="5" t="s">
        <v>915</v>
      </c>
      <c r="E3115" s="55" t="s">
        <v>879</v>
      </c>
      <c r="F3115" s="55"/>
      <c r="G3115" s="24">
        <v>10000</v>
      </c>
      <c r="H3115" s="24">
        <v>0</v>
      </c>
      <c r="I3115" s="24">
        <f>G3115+H3115</f>
        <v>10000</v>
      </c>
    </row>
    <row r="3116" spans="4:9" ht="13.5" thickBot="1">
      <c r="D3116" s="5" t="s">
        <v>916</v>
      </c>
      <c r="E3116" s="55" t="s">
        <v>882</v>
      </c>
      <c r="F3116" s="55"/>
      <c r="G3116" s="24">
        <v>10000</v>
      </c>
      <c r="H3116" s="24">
        <v>0</v>
      </c>
      <c r="I3116" s="24">
        <f>G3116+H3116</f>
        <v>10000</v>
      </c>
    </row>
    <row r="3117" spans="5:9" ht="12.75">
      <c r="E3117" s="58" t="s">
        <v>700</v>
      </c>
      <c r="F3117" s="58"/>
      <c r="G3117" s="25"/>
      <c r="H3117" s="25"/>
      <c r="I3117" s="25"/>
    </row>
    <row r="3118" spans="4:9" ht="13.5" thickBot="1">
      <c r="D3118" s="5" t="s">
        <v>772</v>
      </c>
      <c r="E3118" s="55" t="s">
        <v>773</v>
      </c>
      <c r="F3118" s="55"/>
      <c r="G3118" s="24">
        <f>SUM(G3114:G3117)</f>
        <v>30000</v>
      </c>
      <c r="I3118" s="24">
        <f>G3118+H3118</f>
        <v>30000</v>
      </c>
    </row>
    <row r="3119" spans="5:9" ht="13.5" thickBot="1">
      <c r="E3119" s="56" t="s">
        <v>701</v>
      </c>
      <c r="F3119" s="56"/>
      <c r="G3119" s="26">
        <f>SUM(G3118:G3118)</f>
        <v>30000</v>
      </c>
      <c r="H3119" s="26">
        <f>SUM(H3118:H3118)</f>
        <v>0</v>
      </c>
      <c r="I3119" s="26">
        <f>G3119+H3119</f>
        <v>30000</v>
      </c>
    </row>
    <row r="3120" spans="5:9" ht="12.75">
      <c r="E3120" s="58" t="s">
        <v>217</v>
      </c>
      <c r="F3120" s="58"/>
      <c r="G3120" s="25"/>
      <c r="H3120" s="25"/>
      <c r="I3120" s="25"/>
    </row>
    <row r="3121" spans="4:9" ht="13.5" thickBot="1">
      <c r="D3121" s="5" t="s">
        <v>772</v>
      </c>
      <c r="E3121" s="55" t="s">
        <v>773</v>
      </c>
      <c r="F3121" s="55"/>
      <c r="G3121" s="24">
        <f>+G3118</f>
        <v>30000</v>
      </c>
      <c r="H3121" s="24">
        <v>0</v>
      </c>
      <c r="I3121" s="24">
        <f>G3121+H3121</f>
        <v>30000</v>
      </c>
    </row>
    <row r="3122" spans="5:9" ht="13.5" thickBot="1">
      <c r="E3122" s="56" t="s">
        <v>218</v>
      </c>
      <c r="F3122" s="56"/>
      <c r="G3122" s="26">
        <f>SUM(G3121:G3121)</f>
        <v>30000</v>
      </c>
      <c r="H3122" s="26">
        <f>SUM(H3121:H3121)</f>
        <v>0</v>
      </c>
      <c r="I3122" s="26">
        <f>G3122+H3122</f>
        <v>30000</v>
      </c>
    </row>
    <row r="3123" ht="8.25" customHeight="1"/>
    <row r="3124" spans="1:6" ht="12.75">
      <c r="A3124" s="8">
        <v>49</v>
      </c>
      <c r="B3124" s="9" t="s">
        <v>766</v>
      </c>
      <c r="C3124" s="8"/>
      <c r="D3124" s="9"/>
      <c r="E3124" s="57" t="s">
        <v>299</v>
      </c>
      <c r="F3124" s="57"/>
    </row>
    <row r="3125" spans="1:6" ht="12.75">
      <c r="A3125" s="8"/>
      <c r="B3125" s="9"/>
      <c r="C3125" s="8" t="s">
        <v>828</v>
      </c>
      <c r="D3125" s="9"/>
      <c r="E3125" s="57" t="s">
        <v>829</v>
      </c>
      <c r="F3125" s="57"/>
    </row>
    <row r="3126" spans="4:9" ht="12.75">
      <c r="D3126" s="5" t="s">
        <v>911</v>
      </c>
      <c r="E3126" s="55" t="s">
        <v>199</v>
      </c>
      <c r="F3126" s="55"/>
      <c r="G3126" s="24">
        <v>511000</v>
      </c>
      <c r="H3126" s="24">
        <v>0</v>
      </c>
      <c r="I3126" s="24">
        <f aca="true" t="shared" si="152" ref="I3126:I3134">G3126+H3126</f>
        <v>511000</v>
      </c>
    </row>
    <row r="3127" spans="4:9" ht="12.75">
      <c r="D3127" s="5" t="s">
        <v>912</v>
      </c>
      <c r="E3127" s="55" t="s">
        <v>877</v>
      </c>
      <c r="F3127" s="55"/>
      <c r="G3127" s="24">
        <v>92000</v>
      </c>
      <c r="H3127" s="24">
        <v>0</v>
      </c>
      <c r="I3127" s="24">
        <f t="shared" si="152"/>
        <v>92000</v>
      </c>
    </row>
    <row r="3128" spans="4:9" ht="12.75">
      <c r="D3128" s="5" t="s">
        <v>921</v>
      </c>
      <c r="E3128" s="55" t="s">
        <v>880</v>
      </c>
      <c r="F3128" s="55"/>
      <c r="G3128" s="24">
        <v>13000</v>
      </c>
      <c r="H3128" s="24">
        <v>0</v>
      </c>
      <c r="I3128" s="24">
        <f t="shared" si="152"/>
        <v>13000</v>
      </c>
    </row>
    <row r="3129" spans="4:9" ht="12.75">
      <c r="D3129" s="5" t="s">
        <v>919</v>
      </c>
      <c r="E3129" s="55" t="s">
        <v>200</v>
      </c>
      <c r="F3129" s="55"/>
      <c r="G3129" s="24">
        <v>6000</v>
      </c>
      <c r="H3129" s="24">
        <v>0</v>
      </c>
      <c r="I3129" s="24">
        <f t="shared" si="152"/>
        <v>6000</v>
      </c>
    </row>
    <row r="3130" spans="4:9" ht="12.75">
      <c r="D3130" s="5" t="s">
        <v>913</v>
      </c>
      <c r="E3130" s="55" t="s">
        <v>881</v>
      </c>
      <c r="F3130" s="55"/>
      <c r="G3130" s="24">
        <v>20000</v>
      </c>
      <c r="H3130" s="24">
        <v>0</v>
      </c>
      <c r="I3130" s="24">
        <f t="shared" si="152"/>
        <v>20000</v>
      </c>
    </row>
    <row r="3131" spans="4:9" ht="12.75">
      <c r="D3131" s="5" t="s">
        <v>915</v>
      </c>
      <c r="E3131" s="55" t="s">
        <v>879</v>
      </c>
      <c r="F3131" s="55"/>
      <c r="G3131" s="24">
        <v>10000</v>
      </c>
      <c r="H3131" s="24">
        <v>0</v>
      </c>
      <c r="I3131" s="24">
        <f t="shared" si="152"/>
        <v>10000</v>
      </c>
    </row>
    <row r="3132" spans="4:9" ht="12.75">
      <c r="D3132" s="5" t="s">
        <v>916</v>
      </c>
      <c r="E3132" s="55" t="s">
        <v>882</v>
      </c>
      <c r="F3132" s="55"/>
      <c r="G3132" s="24">
        <v>10000</v>
      </c>
      <c r="H3132" s="24">
        <v>0</v>
      </c>
      <c r="I3132" s="24">
        <f t="shared" si="152"/>
        <v>10000</v>
      </c>
    </row>
    <row r="3133" spans="4:9" ht="12.75">
      <c r="D3133" s="5" t="s">
        <v>925</v>
      </c>
      <c r="E3133" s="55" t="s">
        <v>884</v>
      </c>
      <c r="F3133" s="55"/>
      <c r="G3133" s="24">
        <v>10000</v>
      </c>
      <c r="H3133" s="24">
        <v>0</v>
      </c>
      <c r="I3133" s="24">
        <f t="shared" si="152"/>
        <v>10000</v>
      </c>
    </row>
    <row r="3134" spans="4:9" ht="13.5" thickBot="1">
      <c r="D3134" s="5" t="s">
        <v>927</v>
      </c>
      <c r="E3134" s="55" t="s">
        <v>886</v>
      </c>
      <c r="F3134" s="55"/>
      <c r="G3134" s="24">
        <v>5000</v>
      </c>
      <c r="H3134" s="24">
        <v>0</v>
      </c>
      <c r="I3134" s="24">
        <f t="shared" si="152"/>
        <v>5000</v>
      </c>
    </row>
    <row r="3135" spans="5:9" ht="12.75">
      <c r="E3135" s="58" t="s">
        <v>45</v>
      </c>
      <c r="F3135" s="58"/>
      <c r="G3135" s="25"/>
      <c r="H3135" s="25"/>
      <c r="I3135" s="25"/>
    </row>
    <row r="3136" spans="4:9" ht="13.5" thickBot="1">
      <c r="D3136" s="5" t="s">
        <v>772</v>
      </c>
      <c r="E3136" s="55" t="s">
        <v>773</v>
      </c>
      <c r="F3136" s="55"/>
      <c r="G3136" s="24">
        <f>SUM(G3126:G3135)</f>
        <v>677000</v>
      </c>
      <c r="I3136" s="24">
        <f>G3136+H3136</f>
        <v>677000</v>
      </c>
    </row>
    <row r="3137" spans="5:9" ht="13.5" thickBot="1">
      <c r="E3137" s="56" t="s">
        <v>46</v>
      </c>
      <c r="F3137" s="56"/>
      <c r="G3137" s="26">
        <f>SUM(G3136:G3136)</f>
        <v>677000</v>
      </c>
      <c r="H3137" s="26">
        <f>SUM(H3136:H3136)</f>
        <v>0</v>
      </c>
      <c r="I3137" s="26">
        <f>G3137+H3137</f>
        <v>677000</v>
      </c>
    </row>
    <row r="3138" spans="5:9" ht="12.75">
      <c r="E3138" s="58" t="s">
        <v>219</v>
      </c>
      <c r="F3138" s="58"/>
      <c r="G3138" s="25"/>
      <c r="H3138" s="25"/>
      <c r="I3138" s="25"/>
    </row>
    <row r="3139" spans="4:9" ht="13.5" thickBot="1">
      <c r="D3139" s="5" t="s">
        <v>772</v>
      </c>
      <c r="E3139" s="55" t="s">
        <v>773</v>
      </c>
      <c r="F3139" s="55"/>
      <c r="G3139" s="24">
        <f>+G3136</f>
        <v>677000</v>
      </c>
      <c r="H3139" s="24">
        <v>0</v>
      </c>
      <c r="I3139" s="24">
        <f>G3139+H3139</f>
        <v>677000</v>
      </c>
    </row>
    <row r="3140" spans="5:9" ht="13.5" thickBot="1">
      <c r="E3140" s="56" t="s">
        <v>220</v>
      </c>
      <c r="F3140" s="56"/>
      <c r="G3140" s="26">
        <f>SUM(G3139:G3139)</f>
        <v>677000</v>
      </c>
      <c r="H3140" s="26">
        <f>SUM(H3139:H3139)</f>
        <v>0</v>
      </c>
      <c r="I3140" s="26">
        <f>G3140+H3140</f>
        <v>677000</v>
      </c>
    </row>
    <row r="3141" ht="9" customHeight="1"/>
    <row r="3142" spans="1:6" ht="12.75">
      <c r="A3142" s="8">
        <v>50</v>
      </c>
      <c r="B3142" s="9" t="s">
        <v>766</v>
      </c>
      <c r="C3142" s="8"/>
      <c r="D3142" s="9"/>
      <c r="E3142" s="57" t="s">
        <v>303</v>
      </c>
      <c r="F3142" s="57"/>
    </row>
    <row r="3143" spans="1:6" ht="12.75">
      <c r="A3143" s="8"/>
      <c r="B3143" s="9"/>
      <c r="C3143" s="8" t="s">
        <v>873</v>
      </c>
      <c r="D3143" s="9"/>
      <c r="E3143" s="57" t="s">
        <v>874</v>
      </c>
      <c r="F3143" s="57"/>
    </row>
    <row r="3144" spans="4:9" ht="12.75">
      <c r="D3144" s="5" t="s">
        <v>911</v>
      </c>
      <c r="E3144" s="55" t="s">
        <v>199</v>
      </c>
      <c r="F3144" s="55"/>
      <c r="G3144" s="24">
        <v>5243000</v>
      </c>
      <c r="H3144" s="24">
        <v>0</v>
      </c>
      <c r="I3144" s="24">
        <f aca="true" t="shared" si="153" ref="I3144:I3155">G3144+H3144</f>
        <v>5243000</v>
      </c>
    </row>
    <row r="3145" spans="4:9" ht="12.75">
      <c r="D3145" s="5" t="s">
        <v>912</v>
      </c>
      <c r="E3145" s="55" t="s">
        <v>877</v>
      </c>
      <c r="F3145" s="55"/>
      <c r="G3145" s="24">
        <v>939000</v>
      </c>
      <c r="H3145" s="24">
        <v>0</v>
      </c>
      <c r="I3145" s="24">
        <f t="shared" si="153"/>
        <v>939000</v>
      </c>
    </row>
    <row r="3146" spans="4:9" ht="12.75">
      <c r="D3146" s="5" t="s">
        <v>921</v>
      </c>
      <c r="E3146" s="55" t="s">
        <v>880</v>
      </c>
      <c r="F3146" s="55"/>
      <c r="G3146" s="24">
        <v>160000</v>
      </c>
      <c r="H3146" s="24">
        <v>0</v>
      </c>
      <c r="I3146" s="24">
        <f t="shared" si="153"/>
        <v>160000</v>
      </c>
    </row>
    <row r="3147" spans="4:9" ht="12.75">
      <c r="D3147" s="5" t="s">
        <v>919</v>
      </c>
      <c r="E3147" s="55" t="s">
        <v>200</v>
      </c>
      <c r="F3147" s="55"/>
      <c r="G3147" s="24">
        <v>78000</v>
      </c>
      <c r="H3147" s="24">
        <v>0</v>
      </c>
      <c r="I3147" s="24">
        <f t="shared" si="153"/>
        <v>78000</v>
      </c>
    </row>
    <row r="3148" spans="4:9" ht="12.75">
      <c r="D3148" s="5" t="s">
        <v>913</v>
      </c>
      <c r="E3148" s="55" t="s">
        <v>881</v>
      </c>
      <c r="F3148" s="55"/>
      <c r="G3148" s="24">
        <v>300000</v>
      </c>
      <c r="H3148" s="24">
        <v>0</v>
      </c>
      <c r="I3148" s="24">
        <f t="shared" si="153"/>
        <v>300000</v>
      </c>
    </row>
    <row r="3149" spans="4:9" ht="12.75">
      <c r="D3149" s="5" t="s">
        <v>915</v>
      </c>
      <c r="E3149" s="55" t="s">
        <v>879</v>
      </c>
      <c r="F3149" s="55"/>
      <c r="G3149" s="24">
        <v>200000</v>
      </c>
      <c r="H3149" s="24">
        <v>375000</v>
      </c>
      <c r="I3149" s="24">
        <f t="shared" si="153"/>
        <v>575000</v>
      </c>
    </row>
    <row r="3150" spans="4:9" ht="12.75">
      <c r="D3150" s="5" t="s">
        <v>916</v>
      </c>
      <c r="E3150" s="55" t="s">
        <v>882</v>
      </c>
      <c r="F3150" s="55"/>
      <c r="G3150" s="24">
        <v>820000</v>
      </c>
      <c r="H3150" s="24">
        <v>750000</v>
      </c>
      <c r="I3150" s="24">
        <f t="shared" si="153"/>
        <v>1570000</v>
      </c>
    </row>
    <row r="3151" spans="4:9" ht="12.75">
      <c r="D3151" s="5" t="s">
        <v>923</v>
      </c>
      <c r="E3151" s="55" t="s">
        <v>883</v>
      </c>
      <c r="F3151" s="55"/>
      <c r="G3151" s="24">
        <v>700000</v>
      </c>
      <c r="H3151" s="24">
        <v>0</v>
      </c>
      <c r="I3151" s="24">
        <f t="shared" si="153"/>
        <v>700000</v>
      </c>
    </row>
    <row r="3152" spans="4:9" ht="12.75">
      <c r="D3152" s="5" t="s">
        <v>924</v>
      </c>
      <c r="E3152" s="55" t="s">
        <v>203</v>
      </c>
      <c r="F3152" s="55"/>
      <c r="G3152" s="24">
        <v>173000</v>
      </c>
      <c r="H3152" s="24">
        <v>0</v>
      </c>
      <c r="I3152" s="24">
        <f t="shared" si="153"/>
        <v>173000</v>
      </c>
    </row>
    <row r="3153" spans="4:9" ht="12.75">
      <c r="D3153" s="5" t="s">
        <v>925</v>
      </c>
      <c r="E3153" s="55" t="s">
        <v>884</v>
      </c>
      <c r="F3153" s="55"/>
      <c r="G3153" s="24">
        <v>481000</v>
      </c>
      <c r="H3153" s="24">
        <v>125000</v>
      </c>
      <c r="I3153" s="24">
        <f t="shared" si="153"/>
        <v>606000</v>
      </c>
    </row>
    <row r="3154" spans="4:9" ht="12.75">
      <c r="D3154" s="5" t="s">
        <v>754</v>
      </c>
      <c r="E3154" s="55" t="s">
        <v>212</v>
      </c>
      <c r="F3154" s="55"/>
      <c r="G3154" s="24">
        <v>100000</v>
      </c>
      <c r="H3154" s="24">
        <v>0</v>
      </c>
      <c r="I3154" s="24">
        <f t="shared" si="153"/>
        <v>100000</v>
      </c>
    </row>
    <row r="3155" spans="4:9" ht="13.5" thickBot="1">
      <c r="D3155" s="5" t="s">
        <v>927</v>
      </c>
      <c r="E3155" s="55" t="s">
        <v>886</v>
      </c>
      <c r="F3155" s="55"/>
      <c r="G3155" s="24">
        <v>322000</v>
      </c>
      <c r="H3155" s="24">
        <v>0</v>
      </c>
      <c r="I3155" s="24">
        <f t="shared" si="153"/>
        <v>322000</v>
      </c>
    </row>
    <row r="3156" spans="5:9" ht="12.75">
      <c r="E3156" s="58" t="s">
        <v>194</v>
      </c>
      <c r="F3156" s="58"/>
      <c r="G3156" s="25"/>
      <c r="H3156" s="25"/>
      <c r="I3156" s="25"/>
    </row>
    <row r="3157" spans="4:9" ht="12.75">
      <c r="D3157" s="5" t="s">
        <v>772</v>
      </c>
      <c r="E3157" s="55" t="s">
        <v>773</v>
      </c>
      <c r="F3157" s="55"/>
      <c r="G3157" s="24">
        <f>SUM(G3144:G3156)</f>
        <v>9516000</v>
      </c>
      <c r="I3157" s="24">
        <f>G3157+H3157</f>
        <v>9516000</v>
      </c>
    </row>
    <row r="3158" spans="4:9" ht="13.5" thickBot="1">
      <c r="D3158" s="5" t="s">
        <v>784</v>
      </c>
      <c r="E3158" s="55" t="s">
        <v>785</v>
      </c>
      <c r="F3158" s="55"/>
      <c r="H3158" s="24">
        <f>SUM(H3144:H3157)</f>
        <v>1250000</v>
      </c>
      <c r="I3158" s="24">
        <f>G3158+H3158</f>
        <v>1250000</v>
      </c>
    </row>
    <row r="3159" spans="5:9" ht="13.5" thickBot="1">
      <c r="E3159" s="56" t="s">
        <v>195</v>
      </c>
      <c r="F3159" s="56"/>
      <c r="G3159" s="26">
        <f>SUM(G3157:G3158)</f>
        <v>9516000</v>
      </c>
      <c r="H3159" s="26">
        <f>SUM(H3157:H3158)</f>
        <v>1250000</v>
      </c>
      <c r="I3159" s="26">
        <f>G3159+H3159</f>
        <v>10766000</v>
      </c>
    </row>
    <row r="3160" spans="5:9" ht="12.75">
      <c r="E3160" s="58" t="s">
        <v>221</v>
      </c>
      <c r="F3160" s="58"/>
      <c r="G3160" s="25"/>
      <c r="H3160" s="25"/>
      <c r="I3160" s="25"/>
    </row>
    <row r="3161" spans="4:9" ht="12.75">
      <c r="D3161" s="5" t="s">
        <v>772</v>
      </c>
      <c r="E3161" s="55" t="s">
        <v>773</v>
      </c>
      <c r="F3161" s="55"/>
      <c r="G3161" s="24">
        <f>+G3157</f>
        <v>9516000</v>
      </c>
      <c r="H3161" s="24">
        <v>0</v>
      </c>
      <c r="I3161" s="24">
        <f>G3161+H3161</f>
        <v>9516000</v>
      </c>
    </row>
    <row r="3162" spans="4:9" ht="13.5" thickBot="1">
      <c r="D3162" s="5" t="s">
        <v>784</v>
      </c>
      <c r="E3162" s="55" t="s">
        <v>785</v>
      </c>
      <c r="F3162" s="55"/>
      <c r="G3162" s="24">
        <v>0</v>
      </c>
      <c r="H3162" s="24">
        <f>+H3158</f>
        <v>1250000</v>
      </c>
      <c r="I3162" s="24">
        <f>G3162+H3162</f>
        <v>1250000</v>
      </c>
    </row>
    <row r="3163" spans="5:9" ht="13.5" thickBot="1">
      <c r="E3163" s="56" t="s">
        <v>222</v>
      </c>
      <c r="F3163" s="56"/>
      <c r="G3163" s="26">
        <f>SUM(G3161:G3162)</f>
        <v>9516000</v>
      </c>
      <c r="H3163" s="26">
        <f>SUM(H3161:H3162)</f>
        <v>1250000</v>
      </c>
      <c r="I3163" s="26">
        <f>G3163+H3163</f>
        <v>10766000</v>
      </c>
    </row>
    <row r="3164" ht="8.25" customHeight="1"/>
    <row r="3165" spans="1:6" ht="12.75">
      <c r="A3165" s="8">
        <v>51</v>
      </c>
      <c r="B3165" s="9" t="s">
        <v>766</v>
      </c>
      <c r="C3165" s="8"/>
      <c r="D3165" s="9"/>
      <c r="E3165" s="57" t="s">
        <v>304</v>
      </c>
      <c r="F3165" s="57"/>
    </row>
    <row r="3166" spans="1:6" ht="12.75">
      <c r="A3166" s="8"/>
      <c r="B3166" s="9"/>
      <c r="C3166" s="8" t="s">
        <v>826</v>
      </c>
      <c r="D3166" s="9"/>
      <c r="E3166" s="57" t="s">
        <v>827</v>
      </c>
      <c r="F3166" s="57"/>
    </row>
    <row r="3167" spans="4:9" ht="12.75">
      <c r="D3167" s="5" t="s">
        <v>911</v>
      </c>
      <c r="E3167" s="55" t="s">
        <v>199</v>
      </c>
      <c r="F3167" s="55"/>
      <c r="G3167" s="24">
        <v>5314000</v>
      </c>
      <c r="H3167" s="24">
        <v>0</v>
      </c>
      <c r="I3167" s="24">
        <f aca="true" t="shared" si="154" ref="I3167:I3178">G3167+H3167</f>
        <v>5314000</v>
      </c>
    </row>
    <row r="3168" spans="4:9" ht="12.75">
      <c r="D3168" s="5" t="s">
        <v>912</v>
      </c>
      <c r="E3168" s="55" t="s">
        <v>877</v>
      </c>
      <c r="F3168" s="55"/>
      <c r="G3168" s="24">
        <v>944000</v>
      </c>
      <c r="H3168" s="24">
        <v>0</v>
      </c>
      <c r="I3168" s="24">
        <f t="shared" si="154"/>
        <v>944000</v>
      </c>
    </row>
    <row r="3169" spans="4:9" ht="12.75">
      <c r="D3169" s="5" t="s">
        <v>918</v>
      </c>
      <c r="E3169" s="55" t="s">
        <v>878</v>
      </c>
      <c r="F3169" s="55"/>
      <c r="G3169" s="24">
        <v>10000</v>
      </c>
      <c r="H3169" s="24">
        <v>0</v>
      </c>
      <c r="I3169" s="24">
        <f t="shared" si="154"/>
        <v>10000</v>
      </c>
    </row>
    <row r="3170" spans="4:9" ht="12.75">
      <c r="D3170" s="5" t="s">
        <v>921</v>
      </c>
      <c r="E3170" s="55" t="s">
        <v>880</v>
      </c>
      <c r="F3170" s="55"/>
      <c r="G3170" s="24">
        <v>10000</v>
      </c>
      <c r="H3170" s="24">
        <v>0</v>
      </c>
      <c r="I3170" s="24">
        <f t="shared" si="154"/>
        <v>10000</v>
      </c>
    </row>
    <row r="3171" spans="4:9" ht="12.75">
      <c r="D3171" s="5" t="s">
        <v>919</v>
      </c>
      <c r="E3171" s="55" t="s">
        <v>200</v>
      </c>
      <c r="F3171" s="55"/>
      <c r="G3171" s="24">
        <v>80000</v>
      </c>
      <c r="H3171" s="24">
        <v>0</v>
      </c>
      <c r="I3171" s="24">
        <f t="shared" si="154"/>
        <v>80000</v>
      </c>
    </row>
    <row r="3172" spans="4:9" ht="12.75">
      <c r="D3172" s="5" t="s">
        <v>913</v>
      </c>
      <c r="E3172" s="55" t="s">
        <v>881</v>
      </c>
      <c r="F3172" s="55"/>
      <c r="G3172" s="24">
        <v>130000</v>
      </c>
      <c r="H3172" s="24">
        <v>23790.45</v>
      </c>
      <c r="I3172" s="24">
        <f t="shared" si="154"/>
        <v>153790.45</v>
      </c>
    </row>
    <row r="3173" spans="4:9" ht="12.75">
      <c r="D3173" s="5" t="s">
        <v>915</v>
      </c>
      <c r="E3173" s="55" t="s">
        <v>879</v>
      </c>
      <c r="F3173" s="55"/>
      <c r="G3173" s="24">
        <v>20000</v>
      </c>
      <c r="H3173" s="24">
        <v>0</v>
      </c>
      <c r="I3173" s="24">
        <f t="shared" si="154"/>
        <v>20000</v>
      </c>
    </row>
    <row r="3174" spans="4:9" ht="12.75">
      <c r="D3174" s="5" t="s">
        <v>916</v>
      </c>
      <c r="E3174" s="55" t="s">
        <v>882</v>
      </c>
      <c r="F3174" s="55"/>
      <c r="G3174" s="24">
        <v>36000</v>
      </c>
      <c r="H3174" s="24">
        <v>815647.99</v>
      </c>
      <c r="I3174" s="24">
        <f t="shared" si="154"/>
        <v>851647.99</v>
      </c>
    </row>
    <row r="3175" spans="4:9" ht="12.75">
      <c r="D3175" s="5" t="s">
        <v>923</v>
      </c>
      <c r="E3175" s="55" t="s">
        <v>883</v>
      </c>
      <c r="F3175" s="55"/>
      <c r="G3175" s="24">
        <v>190000</v>
      </c>
      <c r="H3175" s="24">
        <v>0</v>
      </c>
      <c r="I3175" s="24">
        <f t="shared" si="154"/>
        <v>190000</v>
      </c>
    </row>
    <row r="3176" spans="4:9" ht="12.75">
      <c r="D3176" s="5" t="s">
        <v>924</v>
      </c>
      <c r="E3176" s="55" t="s">
        <v>203</v>
      </c>
      <c r="F3176" s="55"/>
      <c r="G3176" s="24">
        <v>20000</v>
      </c>
      <c r="H3176" s="24">
        <v>0</v>
      </c>
      <c r="I3176" s="24">
        <f t="shared" si="154"/>
        <v>20000</v>
      </c>
    </row>
    <row r="3177" spans="4:9" ht="12.75">
      <c r="D3177" s="5" t="s">
        <v>925</v>
      </c>
      <c r="E3177" s="55" t="s">
        <v>884</v>
      </c>
      <c r="F3177" s="55"/>
      <c r="G3177" s="24">
        <v>62000</v>
      </c>
      <c r="H3177" s="24">
        <v>0</v>
      </c>
      <c r="I3177" s="24">
        <f t="shared" si="154"/>
        <v>62000</v>
      </c>
    </row>
    <row r="3178" spans="4:9" ht="13.5" thickBot="1">
      <c r="D3178" s="5" t="s">
        <v>753</v>
      </c>
      <c r="E3178" s="55" t="s">
        <v>211</v>
      </c>
      <c r="F3178" s="55"/>
      <c r="G3178" s="24">
        <v>200000</v>
      </c>
      <c r="H3178" s="24">
        <v>0</v>
      </c>
      <c r="I3178" s="24">
        <f t="shared" si="154"/>
        <v>200000</v>
      </c>
    </row>
    <row r="3179" spans="5:9" ht="12.75">
      <c r="E3179" s="58" t="s">
        <v>283</v>
      </c>
      <c r="F3179" s="58"/>
      <c r="G3179" s="25"/>
      <c r="H3179" s="25"/>
      <c r="I3179" s="25"/>
    </row>
    <row r="3180" spans="4:9" ht="12.75">
      <c r="D3180" s="5" t="s">
        <v>772</v>
      </c>
      <c r="E3180" s="55" t="s">
        <v>773</v>
      </c>
      <c r="F3180" s="55"/>
      <c r="G3180" s="24">
        <f>SUM(G3167:G3179)</f>
        <v>7016000</v>
      </c>
      <c r="I3180" s="24">
        <f>G3180+H3180</f>
        <v>7016000</v>
      </c>
    </row>
    <row r="3181" spans="4:8" ht="12.75">
      <c r="D3181" s="5" t="s">
        <v>778</v>
      </c>
      <c r="E3181" s="55" t="s">
        <v>779</v>
      </c>
      <c r="F3181" s="55"/>
      <c r="H3181" s="24">
        <v>423945.82</v>
      </c>
    </row>
    <row r="3182" spans="4:9" ht="13.5" thickBot="1">
      <c r="D3182" s="5" t="s">
        <v>979</v>
      </c>
      <c r="E3182" s="55" t="s">
        <v>374</v>
      </c>
      <c r="F3182" s="55"/>
      <c r="H3182" s="24">
        <v>415492.62</v>
      </c>
      <c r="I3182" s="24">
        <f>G3182+H3182</f>
        <v>415492.62</v>
      </c>
    </row>
    <row r="3183" spans="5:9" ht="13.5" thickBot="1">
      <c r="E3183" s="56" t="s">
        <v>44</v>
      </c>
      <c r="F3183" s="56"/>
      <c r="G3183" s="26">
        <f>SUM(G3180:G3182)</f>
        <v>7016000</v>
      </c>
      <c r="H3183" s="26">
        <f>SUM(H3180:H3182)</f>
        <v>839438.44</v>
      </c>
      <c r="I3183" s="26">
        <f>G3183+H3183</f>
        <v>7855438.4399999995</v>
      </c>
    </row>
    <row r="3184" spans="5:9" ht="12.75">
      <c r="E3184" s="58" t="s">
        <v>223</v>
      </c>
      <c r="F3184" s="58"/>
      <c r="G3184" s="25"/>
      <c r="H3184" s="25"/>
      <c r="I3184" s="25"/>
    </row>
    <row r="3185" spans="4:9" ht="12.75">
      <c r="D3185" s="5" t="s">
        <v>772</v>
      </c>
      <c r="E3185" s="55" t="s">
        <v>773</v>
      </c>
      <c r="F3185" s="55"/>
      <c r="G3185" s="24">
        <f>+G3180</f>
        <v>7016000</v>
      </c>
      <c r="H3185" s="24">
        <v>0</v>
      </c>
      <c r="I3185" s="24">
        <f>G3185+H3185</f>
        <v>7016000</v>
      </c>
    </row>
    <row r="3186" spans="4:8" ht="12.75">
      <c r="D3186" s="5" t="s">
        <v>778</v>
      </c>
      <c r="E3186" s="55" t="s">
        <v>779</v>
      </c>
      <c r="F3186" s="55"/>
      <c r="H3186" s="24">
        <f>+H3181</f>
        <v>423945.82</v>
      </c>
    </row>
    <row r="3187" spans="4:9" ht="13.5" thickBot="1">
      <c r="D3187" s="5" t="s">
        <v>979</v>
      </c>
      <c r="E3187" s="55" t="s">
        <v>374</v>
      </c>
      <c r="F3187" s="55"/>
      <c r="G3187" s="24">
        <v>0</v>
      </c>
      <c r="H3187" s="24">
        <f>+H3182</f>
        <v>415492.62</v>
      </c>
      <c r="I3187" s="24">
        <f>G3187+H3187</f>
        <v>415492.62</v>
      </c>
    </row>
    <row r="3188" spans="5:9" ht="13.5" thickBot="1">
      <c r="E3188" s="56" t="s">
        <v>224</v>
      </c>
      <c r="F3188" s="56"/>
      <c r="G3188" s="26">
        <f>SUM(G3185:G3187)</f>
        <v>7016000</v>
      </c>
      <c r="H3188" s="26">
        <f>SUM(H3185:H3187)</f>
        <v>839438.44</v>
      </c>
      <c r="I3188" s="26">
        <f>G3188+H3188</f>
        <v>7855438.4399999995</v>
      </c>
    </row>
    <row r="3189" ht="8.25" customHeight="1"/>
    <row r="3190" spans="1:6" ht="12.75">
      <c r="A3190" s="8">
        <v>52</v>
      </c>
      <c r="B3190" s="9" t="s">
        <v>766</v>
      </c>
      <c r="C3190" s="8"/>
      <c r="D3190" s="9"/>
      <c r="E3190" s="57" t="s">
        <v>306</v>
      </c>
      <c r="F3190" s="57"/>
    </row>
    <row r="3191" spans="1:6" ht="26.25" customHeight="1">
      <c r="A3191" s="8"/>
      <c r="B3191" s="9"/>
      <c r="C3191" s="8" t="s">
        <v>841</v>
      </c>
      <c r="D3191" s="9"/>
      <c r="E3191" s="57" t="s">
        <v>842</v>
      </c>
      <c r="F3191" s="57"/>
    </row>
    <row r="3192" spans="4:9" ht="12.75">
      <c r="D3192" s="5" t="s">
        <v>911</v>
      </c>
      <c r="E3192" s="55" t="s">
        <v>199</v>
      </c>
      <c r="F3192" s="55"/>
      <c r="G3192" s="24">
        <v>16254000</v>
      </c>
      <c r="H3192" s="24">
        <v>0</v>
      </c>
      <c r="I3192" s="24">
        <f aca="true" t="shared" si="155" ref="I3192:I3207">G3192+H3192</f>
        <v>16254000</v>
      </c>
    </row>
    <row r="3193" spans="4:9" ht="12.75">
      <c r="D3193" s="5" t="s">
        <v>912</v>
      </c>
      <c r="E3193" s="55" t="s">
        <v>877</v>
      </c>
      <c r="F3193" s="55"/>
      <c r="G3193" s="24">
        <v>2909000</v>
      </c>
      <c r="H3193" s="24">
        <v>0</v>
      </c>
      <c r="I3193" s="24">
        <f t="shared" si="155"/>
        <v>2909000</v>
      </c>
    </row>
    <row r="3194" spans="4:9" ht="12.75">
      <c r="D3194" s="5" t="s">
        <v>918</v>
      </c>
      <c r="E3194" s="55" t="s">
        <v>878</v>
      </c>
      <c r="F3194" s="55"/>
      <c r="G3194" s="24">
        <v>10000</v>
      </c>
      <c r="H3194" s="24">
        <v>0</v>
      </c>
      <c r="I3194" s="24">
        <f t="shared" si="155"/>
        <v>10000</v>
      </c>
    </row>
    <row r="3195" spans="4:9" ht="12.75">
      <c r="D3195" s="5" t="s">
        <v>921</v>
      </c>
      <c r="E3195" s="55" t="s">
        <v>880</v>
      </c>
      <c r="F3195" s="55"/>
      <c r="G3195" s="24">
        <v>145000</v>
      </c>
      <c r="H3195" s="24">
        <v>0</v>
      </c>
      <c r="I3195" s="24">
        <f t="shared" si="155"/>
        <v>145000</v>
      </c>
    </row>
    <row r="3196" spans="4:9" ht="12.75">
      <c r="D3196" s="5" t="s">
        <v>919</v>
      </c>
      <c r="E3196" s="55" t="s">
        <v>200</v>
      </c>
      <c r="F3196" s="55"/>
      <c r="G3196" s="24">
        <v>608000</v>
      </c>
      <c r="H3196" s="24">
        <v>0</v>
      </c>
      <c r="I3196" s="24">
        <f t="shared" si="155"/>
        <v>608000</v>
      </c>
    </row>
    <row r="3197" spans="4:9" ht="12.75">
      <c r="D3197" s="5" t="s">
        <v>913</v>
      </c>
      <c r="E3197" s="55" t="s">
        <v>881</v>
      </c>
      <c r="F3197" s="55"/>
      <c r="G3197" s="24">
        <v>4790000</v>
      </c>
      <c r="H3197" s="24">
        <v>685000</v>
      </c>
      <c r="I3197" s="24">
        <f t="shared" si="155"/>
        <v>5475000</v>
      </c>
    </row>
    <row r="3198" spans="4:9" ht="12.75">
      <c r="D3198" s="5" t="s">
        <v>915</v>
      </c>
      <c r="E3198" s="55" t="s">
        <v>879</v>
      </c>
      <c r="F3198" s="55"/>
      <c r="G3198" s="24">
        <v>690000</v>
      </c>
      <c r="H3198" s="24">
        <v>737500</v>
      </c>
      <c r="I3198" s="24">
        <f t="shared" si="155"/>
        <v>1427500</v>
      </c>
    </row>
    <row r="3199" spans="4:9" ht="12.75">
      <c r="D3199" s="5" t="s">
        <v>916</v>
      </c>
      <c r="E3199" s="55" t="s">
        <v>882</v>
      </c>
      <c r="F3199" s="55"/>
      <c r="G3199" s="24">
        <v>1518000</v>
      </c>
      <c r="H3199" s="24">
        <v>6663930</v>
      </c>
      <c r="I3199" s="24">
        <f t="shared" si="155"/>
        <v>8181930</v>
      </c>
    </row>
    <row r="3200" spans="4:9" ht="12.75">
      <c r="D3200" s="5" t="s">
        <v>923</v>
      </c>
      <c r="E3200" s="55" t="s">
        <v>883</v>
      </c>
      <c r="F3200" s="55"/>
      <c r="G3200" s="24">
        <v>492500</v>
      </c>
      <c r="H3200" s="24">
        <v>0</v>
      </c>
      <c r="I3200" s="24">
        <f t="shared" si="155"/>
        <v>492500</v>
      </c>
    </row>
    <row r="3201" spans="4:9" ht="12.75">
      <c r="D3201" s="5" t="s">
        <v>924</v>
      </c>
      <c r="E3201" s="55" t="s">
        <v>203</v>
      </c>
      <c r="F3201" s="55"/>
      <c r="G3201" s="24">
        <v>150000</v>
      </c>
      <c r="H3201" s="24">
        <v>1456000</v>
      </c>
      <c r="I3201" s="24">
        <f t="shared" si="155"/>
        <v>1606000</v>
      </c>
    </row>
    <row r="3202" spans="4:9" ht="12.75">
      <c r="D3202" s="5" t="s">
        <v>925</v>
      </c>
      <c r="E3202" s="55" t="s">
        <v>884</v>
      </c>
      <c r="F3202" s="55"/>
      <c r="G3202" s="24">
        <v>390000</v>
      </c>
      <c r="H3202" s="24">
        <v>270000</v>
      </c>
      <c r="I3202" s="24">
        <f t="shared" si="155"/>
        <v>660000</v>
      </c>
    </row>
    <row r="3203" spans="4:9" ht="12.75">
      <c r="D3203" s="5" t="s">
        <v>750</v>
      </c>
      <c r="E3203" s="55" t="s">
        <v>887</v>
      </c>
      <c r="F3203" s="55"/>
      <c r="G3203" s="24">
        <v>388000000</v>
      </c>
      <c r="H3203" s="24">
        <v>17500000</v>
      </c>
      <c r="I3203" s="24">
        <f t="shared" si="155"/>
        <v>405500000</v>
      </c>
    </row>
    <row r="3204" spans="4:9" ht="12.75">
      <c r="D3204" s="5" t="s">
        <v>753</v>
      </c>
      <c r="E3204" s="55" t="s">
        <v>211</v>
      </c>
      <c r="F3204" s="55"/>
      <c r="G3204" s="24">
        <v>4000000</v>
      </c>
      <c r="H3204" s="24">
        <v>0</v>
      </c>
      <c r="I3204" s="24">
        <f t="shared" si="155"/>
        <v>4000000</v>
      </c>
    </row>
    <row r="3205" spans="4:9" ht="12.75">
      <c r="D3205" s="5" t="s">
        <v>754</v>
      </c>
      <c r="E3205" s="55" t="s">
        <v>212</v>
      </c>
      <c r="F3205" s="55"/>
      <c r="G3205" s="24">
        <v>20000</v>
      </c>
      <c r="H3205" s="24">
        <v>0</v>
      </c>
      <c r="I3205" s="24">
        <f t="shared" si="155"/>
        <v>20000</v>
      </c>
    </row>
    <row r="3206" spans="4:9" ht="12.75">
      <c r="D3206" s="5" t="s">
        <v>926</v>
      </c>
      <c r="E3206" s="55" t="s">
        <v>885</v>
      </c>
      <c r="F3206" s="55"/>
      <c r="G3206" s="24">
        <v>22374500</v>
      </c>
      <c r="H3206" s="24">
        <v>0</v>
      </c>
      <c r="I3206" s="24">
        <f t="shared" si="155"/>
        <v>22374500</v>
      </c>
    </row>
    <row r="3207" spans="4:9" ht="13.5" thickBot="1">
      <c r="D3207" s="5" t="s">
        <v>927</v>
      </c>
      <c r="E3207" s="55" t="s">
        <v>886</v>
      </c>
      <c r="F3207" s="55"/>
      <c r="G3207" s="24">
        <v>144000</v>
      </c>
      <c r="H3207" s="24">
        <v>0</v>
      </c>
      <c r="I3207" s="24">
        <f t="shared" si="155"/>
        <v>144000</v>
      </c>
    </row>
    <row r="3208" spans="5:9" ht="12.75">
      <c r="E3208" s="58" t="s">
        <v>53</v>
      </c>
      <c r="F3208" s="58"/>
      <c r="G3208" s="25"/>
      <c r="H3208" s="25"/>
      <c r="I3208" s="25"/>
    </row>
    <row r="3209" spans="4:9" ht="12.75">
      <c r="D3209" s="5" t="s">
        <v>772</v>
      </c>
      <c r="E3209" s="55" t="s">
        <v>773</v>
      </c>
      <c r="F3209" s="55"/>
      <c r="G3209" s="24">
        <f>SUM(G3192:G3208)</f>
        <v>442495000</v>
      </c>
      <c r="I3209" s="24">
        <f>G3209+H3209</f>
        <v>442495000</v>
      </c>
    </row>
    <row r="3210" spans="4:9" ht="13.5" thickBot="1">
      <c r="D3210" s="5" t="s">
        <v>780</v>
      </c>
      <c r="E3210" s="55" t="s">
        <v>781</v>
      </c>
      <c r="F3210" s="55"/>
      <c r="H3210" s="24">
        <f>SUM(H3192:H3209)</f>
        <v>27312430</v>
      </c>
      <c r="I3210" s="24">
        <f>G3210+H3210</f>
        <v>27312430</v>
      </c>
    </row>
    <row r="3211" spans="5:9" ht="13.5" thickBot="1">
      <c r="E3211" s="56" t="s">
        <v>54</v>
      </c>
      <c r="F3211" s="56"/>
      <c r="G3211" s="26">
        <f>SUM(G3209:G3210)</f>
        <v>442495000</v>
      </c>
      <c r="H3211" s="26">
        <f>SUM(H3209:H3210)</f>
        <v>27312430</v>
      </c>
      <c r="I3211" s="26">
        <f>G3211+H3211</f>
        <v>469807430</v>
      </c>
    </row>
    <row r="3212" spans="5:9" ht="12.75">
      <c r="E3212" s="58" t="s">
        <v>225</v>
      </c>
      <c r="F3212" s="58"/>
      <c r="G3212" s="25"/>
      <c r="H3212" s="25"/>
      <c r="I3212" s="25"/>
    </row>
    <row r="3213" spans="4:9" ht="12.75">
      <c r="D3213" s="5" t="s">
        <v>772</v>
      </c>
      <c r="E3213" s="55" t="s">
        <v>773</v>
      </c>
      <c r="F3213" s="55"/>
      <c r="G3213" s="24">
        <f>+G3209</f>
        <v>442495000</v>
      </c>
      <c r="H3213" s="24">
        <v>0</v>
      </c>
      <c r="I3213" s="24">
        <f>G3213+H3213</f>
        <v>442495000</v>
      </c>
    </row>
    <row r="3214" spans="4:9" ht="13.5" thickBot="1">
      <c r="D3214" s="5" t="s">
        <v>780</v>
      </c>
      <c r="E3214" s="55" t="s">
        <v>781</v>
      </c>
      <c r="F3214" s="55"/>
      <c r="G3214" s="24">
        <v>0</v>
      </c>
      <c r="H3214" s="24">
        <f>+H3210</f>
        <v>27312430</v>
      </c>
      <c r="I3214" s="24">
        <f>G3214+H3214</f>
        <v>27312430</v>
      </c>
    </row>
    <row r="3215" spans="5:9" ht="13.5" thickBot="1">
      <c r="E3215" s="56" t="s">
        <v>226</v>
      </c>
      <c r="F3215" s="56"/>
      <c r="G3215" s="26">
        <f>SUM(G3213:G3214)</f>
        <v>442495000</v>
      </c>
      <c r="H3215" s="26">
        <f>SUM(H3213:H3214)</f>
        <v>27312430</v>
      </c>
      <c r="I3215" s="26">
        <f>G3215+H3215</f>
        <v>469807430</v>
      </c>
    </row>
    <row r="3216" ht="8.25" customHeight="1"/>
    <row r="3217" spans="1:6" ht="12.75">
      <c r="A3217" s="8">
        <v>53</v>
      </c>
      <c r="B3217" s="9" t="s">
        <v>766</v>
      </c>
      <c r="C3217" s="8"/>
      <c r="D3217" s="9"/>
      <c r="E3217" s="57" t="s">
        <v>307</v>
      </c>
      <c r="F3217" s="57"/>
    </row>
    <row r="3218" spans="1:6" ht="12.75" customHeight="1">
      <c r="A3218" s="8"/>
      <c r="B3218" s="9"/>
      <c r="C3218" s="8" t="s">
        <v>875</v>
      </c>
      <c r="D3218" s="9"/>
      <c r="E3218" s="57" t="s">
        <v>876</v>
      </c>
      <c r="F3218" s="57"/>
    </row>
    <row r="3219" spans="4:9" ht="12.75">
      <c r="D3219" s="5" t="s">
        <v>911</v>
      </c>
      <c r="E3219" s="55" t="s">
        <v>199</v>
      </c>
      <c r="F3219" s="55"/>
      <c r="G3219" s="24">
        <v>3634000</v>
      </c>
      <c r="H3219" s="24">
        <v>0</v>
      </c>
      <c r="I3219" s="24">
        <f aca="true" t="shared" si="156" ref="I3219:I3230">G3219+H3219</f>
        <v>3634000</v>
      </c>
    </row>
    <row r="3220" spans="4:9" ht="12.75">
      <c r="D3220" s="5" t="s">
        <v>912</v>
      </c>
      <c r="E3220" s="55" t="s">
        <v>877</v>
      </c>
      <c r="F3220" s="55"/>
      <c r="G3220" s="24">
        <v>651000</v>
      </c>
      <c r="H3220" s="24">
        <v>0</v>
      </c>
      <c r="I3220" s="24">
        <f t="shared" si="156"/>
        <v>651000</v>
      </c>
    </row>
    <row r="3221" spans="4:9" ht="12.75">
      <c r="D3221" s="5" t="s">
        <v>921</v>
      </c>
      <c r="E3221" s="55" t="s">
        <v>880</v>
      </c>
      <c r="F3221" s="55"/>
      <c r="G3221" s="24">
        <v>305000</v>
      </c>
      <c r="H3221" s="24">
        <v>0</v>
      </c>
      <c r="I3221" s="24">
        <f t="shared" si="156"/>
        <v>305000</v>
      </c>
    </row>
    <row r="3222" spans="4:9" ht="12.75">
      <c r="D3222" s="5" t="s">
        <v>919</v>
      </c>
      <c r="E3222" s="55" t="s">
        <v>200</v>
      </c>
      <c r="F3222" s="55"/>
      <c r="G3222" s="24">
        <v>70000</v>
      </c>
      <c r="H3222" s="24">
        <v>0</v>
      </c>
      <c r="I3222" s="24">
        <f t="shared" si="156"/>
        <v>70000</v>
      </c>
    </row>
    <row r="3223" spans="4:9" ht="12.75">
      <c r="D3223" s="5" t="s">
        <v>922</v>
      </c>
      <c r="E3223" s="55" t="s">
        <v>201</v>
      </c>
      <c r="F3223" s="55"/>
      <c r="G3223" s="24">
        <v>6186000</v>
      </c>
      <c r="H3223" s="24">
        <v>0</v>
      </c>
      <c r="I3223" s="24">
        <f t="shared" si="156"/>
        <v>6186000</v>
      </c>
    </row>
    <row r="3224" spans="4:9" ht="12.75">
      <c r="D3224" s="5" t="s">
        <v>913</v>
      </c>
      <c r="E3224" s="55" t="s">
        <v>881</v>
      </c>
      <c r="F3224" s="55"/>
      <c r="G3224" s="24">
        <v>300000</v>
      </c>
      <c r="H3224" s="24">
        <v>0</v>
      </c>
      <c r="I3224" s="24">
        <f t="shared" si="156"/>
        <v>300000</v>
      </c>
    </row>
    <row r="3225" spans="4:9" ht="12.75">
      <c r="D3225" s="5" t="s">
        <v>915</v>
      </c>
      <c r="E3225" s="55" t="s">
        <v>879</v>
      </c>
      <c r="F3225" s="55"/>
      <c r="G3225" s="24">
        <v>40000</v>
      </c>
      <c r="H3225" s="24">
        <v>0</v>
      </c>
      <c r="I3225" s="24">
        <f t="shared" si="156"/>
        <v>40000</v>
      </c>
    </row>
    <row r="3226" spans="4:9" ht="12.75">
      <c r="D3226" s="5" t="s">
        <v>916</v>
      </c>
      <c r="E3226" s="55" t="s">
        <v>882</v>
      </c>
      <c r="F3226" s="55"/>
      <c r="G3226" s="24">
        <v>324000</v>
      </c>
      <c r="H3226" s="24">
        <v>0</v>
      </c>
      <c r="I3226" s="24">
        <f t="shared" si="156"/>
        <v>324000</v>
      </c>
    </row>
    <row r="3227" spans="4:9" ht="12.75">
      <c r="D3227" s="5" t="s">
        <v>924</v>
      </c>
      <c r="E3227" s="55" t="s">
        <v>203</v>
      </c>
      <c r="F3227" s="55"/>
      <c r="G3227" s="24">
        <v>10000</v>
      </c>
      <c r="H3227" s="24">
        <v>0</v>
      </c>
      <c r="I3227" s="24">
        <f t="shared" si="156"/>
        <v>10000</v>
      </c>
    </row>
    <row r="3228" spans="4:9" ht="12.75">
      <c r="D3228" s="5" t="s">
        <v>925</v>
      </c>
      <c r="E3228" s="55" t="s">
        <v>884</v>
      </c>
      <c r="F3228" s="55"/>
      <c r="G3228" s="24">
        <v>80000</v>
      </c>
      <c r="H3228" s="24">
        <v>0</v>
      </c>
      <c r="I3228" s="24">
        <f t="shared" si="156"/>
        <v>80000</v>
      </c>
    </row>
    <row r="3229" spans="4:9" ht="12.75">
      <c r="D3229" s="5" t="s">
        <v>754</v>
      </c>
      <c r="E3229" s="55" t="s">
        <v>212</v>
      </c>
      <c r="F3229" s="55"/>
      <c r="G3229" s="24">
        <v>80000</v>
      </c>
      <c r="H3229" s="24">
        <v>0</v>
      </c>
      <c r="I3229" s="24">
        <f t="shared" si="156"/>
        <v>80000</v>
      </c>
    </row>
    <row r="3230" spans="4:9" ht="13.5" thickBot="1">
      <c r="D3230" s="5" t="s">
        <v>927</v>
      </c>
      <c r="E3230" s="55" t="s">
        <v>886</v>
      </c>
      <c r="F3230" s="55"/>
      <c r="G3230" s="24">
        <v>10000</v>
      </c>
      <c r="H3230" s="24">
        <v>0</v>
      </c>
      <c r="I3230" s="24">
        <f t="shared" si="156"/>
        <v>10000</v>
      </c>
    </row>
    <row r="3231" spans="5:9" ht="12.75">
      <c r="E3231" s="58" t="s">
        <v>706</v>
      </c>
      <c r="F3231" s="58"/>
      <c r="G3231" s="25"/>
      <c r="H3231" s="25"/>
      <c r="I3231" s="25"/>
    </row>
    <row r="3232" spans="4:9" ht="13.5" thickBot="1">
      <c r="D3232" s="5" t="s">
        <v>772</v>
      </c>
      <c r="E3232" s="55" t="s">
        <v>773</v>
      </c>
      <c r="F3232" s="55"/>
      <c r="G3232" s="24">
        <f>SUM(G3219:G3231)</f>
        <v>11690000</v>
      </c>
      <c r="I3232" s="24">
        <f>G3232+H3232</f>
        <v>11690000</v>
      </c>
    </row>
    <row r="3233" spans="5:9" ht="13.5" thickBot="1">
      <c r="E3233" s="56" t="s">
        <v>707</v>
      </c>
      <c r="F3233" s="56"/>
      <c r="G3233" s="26">
        <f>SUM(G3232:G3232)</f>
        <v>11690000</v>
      </c>
      <c r="H3233" s="26">
        <f>SUM(H3232:H3232)</f>
        <v>0</v>
      </c>
      <c r="I3233" s="26">
        <f>G3233+H3233</f>
        <v>11690000</v>
      </c>
    </row>
    <row r="3234" spans="5:9" ht="12.75">
      <c r="E3234" s="58" t="s">
        <v>580</v>
      </c>
      <c r="F3234" s="58"/>
      <c r="G3234" s="25"/>
      <c r="H3234" s="25"/>
      <c r="I3234" s="25"/>
    </row>
    <row r="3235" spans="4:9" ht="13.5" thickBot="1">
      <c r="D3235" s="5" t="s">
        <v>772</v>
      </c>
      <c r="E3235" s="55" t="s">
        <v>773</v>
      </c>
      <c r="F3235" s="55"/>
      <c r="G3235" s="24">
        <f>+G3232</f>
        <v>11690000</v>
      </c>
      <c r="H3235" s="24">
        <v>0</v>
      </c>
      <c r="I3235" s="24">
        <f>G3235+H3235</f>
        <v>11690000</v>
      </c>
    </row>
    <row r="3236" spans="5:9" ht="13.5" thickBot="1">
      <c r="E3236" s="56" t="s">
        <v>227</v>
      </c>
      <c r="F3236" s="56"/>
      <c r="G3236" s="26">
        <f>SUM(G3235:G3235)</f>
        <v>11690000</v>
      </c>
      <c r="H3236" s="26">
        <f>SUM(H3235:H3235)</f>
        <v>0</v>
      </c>
      <c r="I3236" s="26">
        <f>G3236+H3236</f>
        <v>11690000</v>
      </c>
    </row>
    <row r="3237" ht="9.75" customHeight="1"/>
    <row r="3238" spans="1:6" ht="12.75">
      <c r="A3238" s="8">
        <v>54</v>
      </c>
      <c r="B3238" s="9" t="s">
        <v>766</v>
      </c>
      <c r="C3238" s="8"/>
      <c r="D3238" s="9"/>
      <c r="E3238" s="57" t="s">
        <v>308</v>
      </c>
      <c r="F3238" s="57"/>
    </row>
    <row r="3239" spans="1:6" ht="12.75">
      <c r="A3239" s="8"/>
      <c r="B3239" s="9"/>
      <c r="C3239" s="8" t="s">
        <v>875</v>
      </c>
      <c r="D3239" s="9"/>
      <c r="E3239" s="57" t="s">
        <v>876</v>
      </c>
      <c r="F3239" s="57"/>
    </row>
    <row r="3240" spans="4:9" ht="12.75">
      <c r="D3240" s="5" t="s">
        <v>911</v>
      </c>
      <c r="E3240" s="55" t="s">
        <v>199</v>
      </c>
      <c r="F3240" s="55"/>
      <c r="G3240" s="24">
        <v>5000000</v>
      </c>
      <c r="H3240" s="24">
        <v>0</v>
      </c>
      <c r="I3240" s="24">
        <f aca="true" t="shared" si="157" ref="I3240:I3251">G3240+H3240</f>
        <v>5000000</v>
      </c>
    </row>
    <row r="3241" spans="4:9" ht="12.75">
      <c r="D3241" s="5" t="s">
        <v>912</v>
      </c>
      <c r="E3241" s="55" t="s">
        <v>877</v>
      </c>
      <c r="F3241" s="55"/>
      <c r="G3241" s="24">
        <v>900000</v>
      </c>
      <c r="H3241" s="24">
        <v>0</v>
      </c>
      <c r="I3241" s="24">
        <f t="shared" si="157"/>
        <v>900000</v>
      </c>
    </row>
    <row r="3242" spans="4:9" ht="12.75">
      <c r="D3242" s="5" t="s">
        <v>918</v>
      </c>
      <c r="E3242" s="55" t="s">
        <v>878</v>
      </c>
      <c r="F3242" s="55"/>
      <c r="G3242" s="24">
        <v>20000</v>
      </c>
      <c r="H3242" s="24">
        <v>0</v>
      </c>
      <c r="I3242" s="24">
        <f t="shared" si="157"/>
        <v>20000</v>
      </c>
    </row>
    <row r="3243" spans="4:9" ht="12.75">
      <c r="D3243" s="5" t="s">
        <v>921</v>
      </c>
      <c r="E3243" s="55" t="s">
        <v>880</v>
      </c>
      <c r="F3243" s="55"/>
      <c r="G3243" s="24">
        <v>20000</v>
      </c>
      <c r="H3243" s="24">
        <v>0</v>
      </c>
      <c r="I3243" s="24">
        <f t="shared" si="157"/>
        <v>20000</v>
      </c>
    </row>
    <row r="3244" spans="4:9" ht="12.75">
      <c r="D3244" s="5" t="s">
        <v>919</v>
      </c>
      <c r="E3244" s="55" t="s">
        <v>200</v>
      </c>
      <c r="F3244" s="55"/>
      <c r="G3244" s="24">
        <v>75000</v>
      </c>
      <c r="H3244" s="24">
        <v>0</v>
      </c>
      <c r="I3244" s="24">
        <f t="shared" si="157"/>
        <v>75000</v>
      </c>
    </row>
    <row r="3245" spans="4:9" ht="12.75">
      <c r="D3245" s="5" t="s">
        <v>913</v>
      </c>
      <c r="E3245" s="55" t="s">
        <v>881</v>
      </c>
      <c r="F3245" s="55"/>
      <c r="G3245" s="24">
        <f>317000+100000</f>
        <v>417000</v>
      </c>
      <c r="H3245" s="24">
        <v>0</v>
      </c>
      <c r="I3245" s="24">
        <f t="shared" si="157"/>
        <v>417000</v>
      </c>
    </row>
    <row r="3246" spans="4:9" ht="12.75">
      <c r="D3246" s="5" t="s">
        <v>915</v>
      </c>
      <c r="E3246" s="55" t="s">
        <v>879</v>
      </c>
      <c r="F3246" s="55"/>
      <c r="G3246" s="24">
        <v>86000</v>
      </c>
      <c r="H3246" s="24">
        <v>0</v>
      </c>
      <c r="I3246" s="24">
        <f t="shared" si="157"/>
        <v>86000</v>
      </c>
    </row>
    <row r="3247" spans="4:9" ht="12.75">
      <c r="D3247" s="5" t="s">
        <v>916</v>
      </c>
      <c r="E3247" s="55" t="s">
        <v>882</v>
      </c>
      <c r="F3247" s="55"/>
      <c r="G3247" s="24">
        <f>1400000+800000</f>
        <v>2200000</v>
      </c>
      <c r="H3247" s="24">
        <v>0</v>
      </c>
      <c r="I3247" s="24">
        <f t="shared" si="157"/>
        <v>2200000</v>
      </c>
    </row>
    <row r="3248" spans="4:9" ht="12.75">
      <c r="D3248" s="5" t="s">
        <v>924</v>
      </c>
      <c r="E3248" s="55" t="s">
        <v>203</v>
      </c>
      <c r="F3248" s="55"/>
      <c r="G3248" s="24">
        <v>30000</v>
      </c>
      <c r="H3248" s="24">
        <v>0</v>
      </c>
      <c r="I3248" s="24">
        <f t="shared" si="157"/>
        <v>30000</v>
      </c>
    </row>
    <row r="3249" spans="4:9" ht="12.75">
      <c r="D3249" s="5" t="s">
        <v>925</v>
      </c>
      <c r="E3249" s="55" t="s">
        <v>884</v>
      </c>
      <c r="F3249" s="55"/>
      <c r="G3249" s="24">
        <f>250000+200000</f>
        <v>450000</v>
      </c>
      <c r="H3249" s="24">
        <v>0</v>
      </c>
      <c r="I3249" s="24">
        <f t="shared" si="157"/>
        <v>450000</v>
      </c>
    </row>
    <row r="3250" spans="4:9" ht="12.75">
      <c r="D3250" s="5" t="s">
        <v>754</v>
      </c>
      <c r="E3250" s="55" t="s">
        <v>212</v>
      </c>
      <c r="F3250" s="55"/>
      <c r="G3250" s="24">
        <v>10000</v>
      </c>
      <c r="H3250" s="24">
        <v>0</v>
      </c>
      <c r="I3250" s="24">
        <f t="shared" si="157"/>
        <v>10000</v>
      </c>
    </row>
    <row r="3251" spans="4:9" ht="13.5" thickBot="1">
      <c r="D3251" s="5" t="s">
        <v>927</v>
      </c>
      <c r="E3251" s="55" t="s">
        <v>886</v>
      </c>
      <c r="F3251" s="55"/>
      <c r="G3251" s="24">
        <v>500000</v>
      </c>
      <c r="H3251" s="24">
        <v>0</v>
      </c>
      <c r="I3251" s="24">
        <f t="shared" si="157"/>
        <v>500000</v>
      </c>
    </row>
    <row r="3252" spans="5:9" ht="12.75">
      <c r="E3252" s="58" t="s">
        <v>706</v>
      </c>
      <c r="F3252" s="58"/>
      <c r="G3252" s="25"/>
      <c r="H3252" s="25"/>
      <c r="I3252" s="25"/>
    </row>
    <row r="3253" spans="4:9" ht="13.5" thickBot="1">
      <c r="D3253" s="5" t="s">
        <v>772</v>
      </c>
      <c r="E3253" s="55" t="s">
        <v>773</v>
      </c>
      <c r="F3253" s="55"/>
      <c r="G3253" s="24">
        <f>SUM(G3240:G3252)</f>
        <v>9708000</v>
      </c>
      <c r="I3253" s="24">
        <f>G3253+H3253</f>
        <v>9708000</v>
      </c>
    </row>
    <row r="3254" spans="5:9" ht="13.5" thickBot="1">
      <c r="E3254" s="56" t="s">
        <v>707</v>
      </c>
      <c r="F3254" s="56"/>
      <c r="G3254" s="26">
        <f>SUM(G3253:G3253)</f>
        <v>9708000</v>
      </c>
      <c r="H3254" s="26">
        <f>SUM(H3253:H3253)</f>
        <v>0</v>
      </c>
      <c r="I3254" s="26">
        <f>G3254+H3254</f>
        <v>9708000</v>
      </c>
    </row>
    <row r="3255" spans="5:9" ht="12.75">
      <c r="E3255" s="58" t="s">
        <v>228</v>
      </c>
      <c r="F3255" s="58"/>
      <c r="G3255" s="25"/>
      <c r="H3255" s="25"/>
      <c r="I3255" s="25"/>
    </row>
    <row r="3256" spans="4:9" ht="13.5" thickBot="1">
      <c r="D3256" s="5" t="s">
        <v>772</v>
      </c>
      <c r="E3256" s="55" t="s">
        <v>773</v>
      </c>
      <c r="F3256" s="55"/>
      <c r="G3256" s="24">
        <f>+G3253</f>
        <v>9708000</v>
      </c>
      <c r="H3256" s="24">
        <v>0</v>
      </c>
      <c r="I3256" s="24">
        <f>G3256+H3256</f>
        <v>9708000</v>
      </c>
    </row>
    <row r="3257" spans="5:9" ht="13.5" thickBot="1">
      <c r="E3257" s="56" t="s">
        <v>229</v>
      </c>
      <c r="F3257" s="56"/>
      <c r="G3257" s="26">
        <f>SUM(G3256:G3256)</f>
        <v>9708000</v>
      </c>
      <c r="H3257" s="26">
        <f>SUM(H3256:H3256)</f>
        <v>0</v>
      </c>
      <c r="I3257" s="26">
        <f>G3257+H3257</f>
        <v>9708000</v>
      </c>
    </row>
    <row r="3258" ht="7.5" customHeight="1"/>
    <row r="3259" spans="1:6" ht="12.75">
      <c r="A3259" s="8">
        <v>55</v>
      </c>
      <c r="B3259" s="9" t="s">
        <v>766</v>
      </c>
      <c r="C3259" s="8"/>
      <c r="D3259" s="9"/>
      <c r="E3259" s="57" t="s">
        <v>309</v>
      </c>
      <c r="F3259" s="57"/>
    </row>
    <row r="3260" spans="1:6" ht="12.75">
      <c r="A3260" s="8"/>
      <c r="B3260" s="9"/>
      <c r="C3260" s="8" t="s">
        <v>875</v>
      </c>
      <c r="D3260" s="9"/>
      <c r="E3260" s="57" t="s">
        <v>876</v>
      </c>
      <c r="F3260" s="57"/>
    </row>
    <row r="3261" spans="4:9" ht="12.75">
      <c r="D3261" s="5" t="s">
        <v>911</v>
      </c>
      <c r="E3261" s="55" t="s">
        <v>199</v>
      </c>
      <c r="F3261" s="55"/>
      <c r="G3261" s="24">
        <v>758000</v>
      </c>
      <c r="H3261" s="24">
        <v>0</v>
      </c>
      <c r="I3261" s="24">
        <f aca="true" t="shared" si="158" ref="I3261:I3270">G3261+H3261</f>
        <v>758000</v>
      </c>
    </row>
    <row r="3262" spans="4:9" ht="12.75">
      <c r="D3262" s="5" t="s">
        <v>912</v>
      </c>
      <c r="E3262" s="55" t="s">
        <v>877</v>
      </c>
      <c r="F3262" s="55"/>
      <c r="G3262" s="24">
        <v>404000</v>
      </c>
      <c r="H3262" s="24">
        <v>0</v>
      </c>
      <c r="I3262" s="24">
        <f t="shared" si="158"/>
        <v>404000</v>
      </c>
    </row>
    <row r="3263" spans="4:9" ht="12.75">
      <c r="D3263" s="5" t="s">
        <v>918</v>
      </c>
      <c r="E3263" s="55" t="s">
        <v>878</v>
      </c>
      <c r="F3263" s="55"/>
      <c r="G3263" s="24">
        <v>13000</v>
      </c>
      <c r="H3263" s="24">
        <v>0</v>
      </c>
      <c r="I3263" s="24">
        <f t="shared" si="158"/>
        <v>13000</v>
      </c>
    </row>
    <row r="3264" spans="4:9" ht="12.75">
      <c r="D3264" s="5" t="s">
        <v>921</v>
      </c>
      <c r="E3264" s="55" t="s">
        <v>880</v>
      </c>
      <c r="F3264" s="55"/>
      <c r="G3264" s="24">
        <v>40000</v>
      </c>
      <c r="H3264" s="24">
        <v>0</v>
      </c>
      <c r="I3264" s="24">
        <f t="shared" si="158"/>
        <v>40000</v>
      </c>
    </row>
    <row r="3265" spans="4:9" ht="12.75">
      <c r="D3265" s="5" t="s">
        <v>919</v>
      </c>
      <c r="E3265" s="55" t="s">
        <v>200</v>
      </c>
      <c r="F3265" s="55"/>
      <c r="G3265" s="24">
        <v>25000</v>
      </c>
      <c r="H3265" s="24">
        <v>0</v>
      </c>
      <c r="I3265" s="24">
        <f t="shared" si="158"/>
        <v>25000</v>
      </c>
    </row>
    <row r="3266" spans="4:9" ht="12.75">
      <c r="D3266" s="5" t="s">
        <v>913</v>
      </c>
      <c r="E3266" s="55" t="s">
        <v>881</v>
      </c>
      <c r="F3266" s="55"/>
      <c r="G3266" s="24">
        <v>250000</v>
      </c>
      <c r="H3266" s="24">
        <v>0</v>
      </c>
      <c r="I3266" s="24">
        <f t="shared" si="158"/>
        <v>250000</v>
      </c>
    </row>
    <row r="3267" spans="4:9" ht="12.75">
      <c r="D3267" s="5" t="s">
        <v>915</v>
      </c>
      <c r="E3267" s="55" t="s">
        <v>879</v>
      </c>
      <c r="F3267" s="55"/>
      <c r="G3267" s="24">
        <v>125000</v>
      </c>
      <c r="H3267" s="24">
        <v>0</v>
      </c>
      <c r="I3267" s="24">
        <f t="shared" si="158"/>
        <v>125000</v>
      </c>
    </row>
    <row r="3268" spans="4:9" ht="12.75">
      <c r="D3268" s="5" t="s">
        <v>916</v>
      </c>
      <c r="E3268" s="55" t="s">
        <v>882</v>
      </c>
      <c r="F3268" s="55"/>
      <c r="G3268" s="24">
        <v>4150000</v>
      </c>
      <c r="H3268" s="24">
        <v>0</v>
      </c>
      <c r="I3268" s="24">
        <f t="shared" si="158"/>
        <v>4150000</v>
      </c>
    </row>
    <row r="3269" spans="4:9" ht="12.75">
      <c r="D3269" s="5" t="s">
        <v>925</v>
      </c>
      <c r="E3269" s="55" t="s">
        <v>884</v>
      </c>
      <c r="F3269" s="55"/>
      <c r="G3269" s="24">
        <v>500000</v>
      </c>
      <c r="H3269" s="24">
        <v>0</v>
      </c>
      <c r="I3269" s="24">
        <f t="shared" si="158"/>
        <v>500000</v>
      </c>
    </row>
    <row r="3270" spans="4:9" ht="13.5" thickBot="1">
      <c r="D3270" s="5" t="s">
        <v>927</v>
      </c>
      <c r="E3270" s="55" t="s">
        <v>886</v>
      </c>
      <c r="F3270" s="55"/>
      <c r="G3270" s="24">
        <v>625000</v>
      </c>
      <c r="H3270" s="24">
        <v>0</v>
      </c>
      <c r="I3270" s="24">
        <f t="shared" si="158"/>
        <v>625000</v>
      </c>
    </row>
    <row r="3271" spans="5:9" ht="12.75">
      <c r="E3271" s="58" t="s">
        <v>706</v>
      </c>
      <c r="F3271" s="58"/>
      <c r="G3271" s="25"/>
      <c r="H3271" s="25"/>
      <c r="I3271" s="25"/>
    </row>
    <row r="3272" spans="4:9" ht="13.5" thickBot="1">
      <c r="D3272" s="5" t="s">
        <v>772</v>
      </c>
      <c r="E3272" s="55" t="s">
        <v>773</v>
      </c>
      <c r="F3272" s="55"/>
      <c r="G3272" s="24">
        <f>SUM(G3261:G3271)</f>
        <v>6890000</v>
      </c>
      <c r="I3272" s="24">
        <f>G3272+H3272</f>
        <v>6890000</v>
      </c>
    </row>
    <row r="3273" spans="5:9" ht="13.5" thickBot="1">
      <c r="E3273" s="56" t="s">
        <v>707</v>
      </c>
      <c r="F3273" s="56"/>
      <c r="G3273" s="26">
        <f>SUM(G3272:G3272)</f>
        <v>6890000</v>
      </c>
      <c r="H3273" s="26">
        <f>SUM(H3272:H3272)</f>
        <v>0</v>
      </c>
      <c r="I3273" s="26">
        <f>G3273+H3273</f>
        <v>6890000</v>
      </c>
    </row>
    <row r="3274" spans="5:9" ht="12.75">
      <c r="E3274" s="58" t="s">
        <v>230</v>
      </c>
      <c r="F3274" s="58"/>
      <c r="G3274" s="25"/>
      <c r="H3274" s="25"/>
      <c r="I3274" s="25"/>
    </row>
    <row r="3275" spans="4:9" ht="13.5" thickBot="1">
      <c r="D3275" s="5" t="s">
        <v>772</v>
      </c>
      <c r="E3275" s="55" t="s">
        <v>773</v>
      </c>
      <c r="F3275" s="55"/>
      <c r="G3275" s="24">
        <f>+G3272</f>
        <v>6890000</v>
      </c>
      <c r="H3275" s="24">
        <v>0</v>
      </c>
      <c r="I3275" s="24">
        <f>G3275+H3275</f>
        <v>6890000</v>
      </c>
    </row>
    <row r="3276" spans="5:9" ht="13.5" thickBot="1">
      <c r="E3276" s="56" t="s">
        <v>231</v>
      </c>
      <c r="F3276" s="56"/>
      <c r="G3276" s="26">
        <f>SUM(G3275:G3275)</f>
        <v>6890000</v>
      </c>
      <c r="H3276" s="26">
        <f>SUM(H3275:H3275)</f>
        <v>0</v>
      </c>
      <c r="I3276" s="26">
        <f>G3276+H3276</f>
        <v>6890000</v>
      </c>
    </row>
    <row r="3277" ht="9" customHeight="1"/>
    <row r="3278" spans="1:6" ht="12.75">
      <c r="A3278" s="8">
        <v>56</v>
      </c>
      <c r="B3278" s="9" t="s">
        <v>766</v>
      </c>
      <c r="C3278" s="8"/>
      <c r="D3278" s="9"/>
      <c r="E3278" s="57" t="s">
        <v>310</v>
      </c>
      <c r="F3278" s="57"/>
    </row>
    <row r="3279" spans="1:6" ht="12.75">
      <c r="A3279" s="8"/>
      <c r="B3279" s="9"/>
      <c r="C3279" s="8" t="s">
        <v>792</v>
      </c>
      <c r="D3279" s="9"/>
      <c r="E3279" s="57" t="s">
        <v>793</v>
      </c>
      <c r="F3279" s="57"/>
    </row>
    <row r="3280" spans="4:9" ht="12.75">
      <c r="D3280" s="5" t="s">
        <v>911</v>
      </c>
      <c r="E3280" s="55" t="s">
        <v>199</v>
      </c>
      <c r="F3280" s="55"/>
      <c r="G3280" s="24">
        <v>19379000</v>
      </c>
      <c r="H3280" s="24">
        <v>0</v>
      </c>
      <c r="I3280" s="24">
        <f aca="true" t="shared" si="159" ref="I3280:I3290">G3280+H3280</f>
        <v>19379000</v>
      </c>
    </row>
    <row r="3281" spans="4:9" ht="12.75">
      <c r="D3281" s="5" t="s">
        <v>912</v>
      </c>
      <c r="E3281" s="55" t="s">
        <v>877</v>
      </c>
      <c r="F3281" s="55"/>
      <c r="G3281" s="24">
        <v>3502000</v>
      </c>
      <c r="H3281" s="24">
        <v>0</v>
      </c>
      <c r="I3281" s="24">
        <f t="shared" si="159"/>
        <v>3502000</v>
      </c>
    </row>
    <row r="3282" spans="4:9" ht="12.75">
      <c r="D3282" s="5" t="s">
        <v>921</v>
      </c>
      <c r="E3282" s="55" t="s">
        <v>880</v>
      </c>
      <c r="F3282" s="55"/>
      <c r="G3282" s="24">
        <v>140000</v>
      </c>
      <c r="H3282" s="24">
        <v>120250</v>
      </c>
      <c r="I3282" s="24">
        <f t="shared" si="159"/>
        <v>260250</v>
      </c>
    </row>
    <row r="3283" spans="4:9" ht="12.75">
      <c r="D3283" s="5" t="s">
        <v>919</v>
      </c>
      <c r="E3283" s="55" t="s">
        <v>200</v>
      </c>
      <c r="F3283" s="55"/>
      <c r="G3283" s="24">
        <v>570000</v>
      </c>
      <c r="H3283" s="24">
        <v>80000</v>
      </c>
      <c r="I3283" s="24">
        <f t="shared" si="159"/>
        <v>650000</v>
      </c>
    </row>
    <row r="3284" spans="4:9" ht="12.75">
      <c r="D3284" s="5" t="s">
        <v>913</v>
      </c>
      <c r="E3284" s="55" t="s">
        <v>881</v>
      </c>
      <c r="F3284" s="55"/>
      <c r="G3284" s="24">
        <v>458000</v>
      </c>
      <c r="H3284" s="24">
        <v>292280.99</v>
      </c>
      <c r="I3284" s="24">
        <f t="shared" si="159"/>
        <v>750280.99</v>
      </c>
    </row>
    <row r="3285" spans="4:9" ht="12.75">
      <c r="D3285" s="5" t="s">
        <v>915</v>
      </c>
      <c r="E3285" s="55" t="s">
        <v>879</v>
      </c>
      <c r="F3285" s="55"/>
      <c r="G3285" s="24">
        <v>150000</v>
      </c>
      <c r="H3285" s="24">
        <v>170000</v>
      </c>
      <c r="I3285" s="24">
        <f t="shared" si="159"/>
        <v>320000</v>
      </c>
    </row>
    <row r="3286" spans="4:9" ht="12.75">
      <c r="D3286" s="5" t="s">
        <v>916</v>
      </c>
      <c r="E3286" s="55" t="s">
        <v>882</v>
      </c>
      <c r="F3286" s="55"/>
      <c r="G3286" s="24">
        <v>440000</v>
      </c>
      <c r="H3286" s="24">
        <v>75000</v>
      </c>
      <c r="I3286" s="24">
        <f t="shared" si="159"/>
        <v>515000</v>
      </c>
    </row>
    <row r="3287" spans="4:9" ht="12.75">
      <c r="D3287" s="5" t="s">
        <v>924</v>
      </c>
      <c r="E3287" s="55" t="s">
        <v>203</v>
      </c>
      <c r="F3287" s="55"/>
      <c r="G3287" s="24">
        <v>22000</v>
      </c>
      <c r="H3287" s="24">
        <v>372000</v>
      </c>
      <c r="I3287" s="24">
        <f t="shared" si="159"/>
        <v>394000</v>
      </c>
    </row>
    <row r="3288" spans="4:9" ht="12.75">
      <c r="D3288" s="5" t="s">
        <v>925</v>
      </c>
      <c r="E3288" s="55" t="s">
        <v>884</v>
      </c>
      <c r="F3288" s="55"/>
      <c r="G3288" s="24">
        <v>350000</v>
      </c>
      <c r="H3288" s="24">
        <v>102000</v>
      </c>
      <c r="I3288" s="24">
        <f t="shared" si="159"/>
        <v>452000</v>
      </c>
    </row>
    <row r="3289" spans="4:9" ht="12.75">
      <c r="D3289" s="5" t="s">
        <v>754</v>
      </c>
      <c r="E3289" s="55" t="s">
        <v>212</v>
      </c>
      <c r="F3289" s="55"/>
      <c r="G3289" s="24">
        <v>0</v>
      </c>
      <c r="H3289" s="24">
        <v>180000</v>
      </c>
      <c r="I3289" s="24">
        <f t="shared" si="159"/>
        <v>180000</v>
      </c>
    </row>
    <row r="3290" spans="4:9" ht="13.5" thickBot="1">
      <c r="D3290" s="5" t="s">
        <v>927</v>
      </c>
      <c r="E3290" s="55" t="s">
        <v>886</v>
      </c>
      <c r="F3290" s="55"/>
      <c r="G3290" s="24">
        <v>115000</v>
      </c>
      <c r="H3290" s="24">
        <v>906000</v>
      </c>
      <c r="I3290" s="24">
        <f t="shared" si="159"/>
        <v>1021000</v>
      </c>
    </row>
    <row r="3291" spans="5:9" ht="12.75">
      <c r="E3291" s="58" t="s">
        <v>712</v>
      </c>
      <c r="F3291" s="58"/>
      <c r="G3291" s="25"/>
      <c r="H3291" s="25"/>
      <c r="I3291" s="25"/>
    </row>
    <row r="3292" spans="4:9" ht="12.75">
      <c r="D3292" s="5" t="s">
        <v>772</v>
      </c>
      <c r="E3292" s="55" t="s">
        <v>773</v>
      </c>
      <c r="F3292" s="55"/>
      <c r="G3292" s="24">
        <f>SUM(G3280:G3291)</f>
        <v>25126000</v>
      </c>
      <c r="I3292" s="24">
        <f>G3292+H3292</f>
        <v>25126000</v>
      </c>
    </row>
    <row r="3293" spans="4:9" ht="12.75">
      <c r="D3293" s="5" t="s">
        <v>784</v>
      </c>
      <c r="E3293" s="55" t="s">
        <v>785</v>
      </c>
      <c r="F3293" s="55"/>
      <c r="H3293" s="24">
        <v>1790250</v>
      </c>
      <c r="I3293" s="24">
        <f>G3293+H3293</f>
        <v>1790250</v>
      </c>
    </row>
    <row r="3294" spans="4:9" ht="13.5" thickBot="1">
      <c r="D3294" s="5" t="s">
        <v>825</v>
      </c>
      <c r="E3294" s="55" t="s">
        <v>905</v>
      </c>
      <c r="F3294" s="55"/>
      <c r="H3294" s="24">
        <v>507280.99</v>
      </c>
      <c r="I3294" s="24">
        <f>G3294+H3294</f>
        <v>507280.99</v>
      </c>
    </row>
    <row r="3295" spans="5:9" ht="13.5" thickBot="1">
      <c r="E3295" s="56" t="s">
        <v>713</v>
      </c>
      <c r="F3295" s="56"/>
      <c r="G3295" s="26">
        <f>SUM(G3292:G3294)</f>
        <v>25126000</v>
      </c>
      <c r="H3295" s="26">
        <f>SUM(H3292:H3294)</f>
        <v>2297530.99</v>
      </c>
      <c r="I3295" s="26">
        <f>G3295+H3295</f>
        <v>27423530.990000002</v>
      </c>
    </row>
    <row r="3296" spans="5:9" ht="12.75">
      <c r="E3296" s="58" t="s">
        <v>233</v>
      </c>
      <c r="F3296" s="58"/>
      <c r="G3296" s="25"/>
      <c r="H3296" s="25"/>
      <c r="I3296" s="25"/>
    </row>
    <row r="3297" spans="4:9" ht="12.75">
      <c r="D3297" s="5" t="s">
        <v>772</v>
      </c>
      <c r="E3297" s="55" t="s">
        <v>773</v>
      </c>
      <c r="F3297" s="55"/>
      <c r="G3297" s="24">
        <f>+G3292</f>
        <v>25126000</v>
      </c>
      <c r="H3297" s="24">
        <v>0</v>
      </c>
      <c r="I3297" s="24">
        <f>G3297+H3297</f>
        <v>25126000</v>
      </c>
    </row>
    <row r="3298" spans="4:9" ht="12.75">
      <c r="D3298" s="5" t="s">
        <v>784</v>
      </c>
      <c r="E3298" s="55" t="s">
        <v>785</v>
      </c>
      <c r="F3298" s="55"/>
      <c r="G3298" s="24">
        <v>0</v>
      </c>
      <c r="H3298" s="24">
        <f>+H3293</f>
        <v>1790250</v>
      </c>
      <c r="I3298" s="24">
        <f>G3298+H3298</f>
        <v>1790250</v>
      </c>
    </row>
    <row r="3299" spans="4:9" ht="13.5" thickBot="1">
      <c r="D3299" s="5" t="s">
        <v>825</v>
      </c>
      <c r="E3299" s="55" t="s">
        <v>905</v>
      </c>
      <c r="F3299" s="55"/>
      <c r="G3299" s="24">
        <v>0</v>
      </c>
      <c r="H3299" s="24">
        <f>+H3294</f>
        <v>507280.99</v>
      </c>
      <c r="I3299" s="24">
        <f>G3299+H3299</f>
        <v>507280.99</v>
      </c>
    </row>
    <row r="3300" spans="5:9" ht="13.5" thickBot="1">
      <c r="E3300" s="56" t="s">
        <v>234</v>
      </c>
      <c r="F3300" s="56"/>
      <c r="G3300" s="26">
        <f>SUM(G3297:G3299)</f>
        <v>25126000</v>
      </c>
      <c r="H3300" s="26">
        <f>SUM(H3297:H3299)</f>
        <v>2297530.99</v>
      </c>
      <c r="I3300" s="26">
        <f>G3300+H3300</f>
        <v>27423530.990000002</v>
      </c>
    </row>
    <row r="3302" spans="1:6" ht="26.25" customHeight="1">
      <c r="A3302" s="8">
        <v>57</v>
      </c>
      <c r="B3302" s="9" t="s">
        <v>766</v>
      </c>
      <c r="C3302" s="8"/>
      <c r="D3302" s="9"/>
      <c r="E3302" s="57" t="s">
        <v>311</v>
      </c>
      <c r="F3302" s="57"/>
    </row>
    <row r="3303" spans="1:6" ht="12.75">
      <c r="A3303" s="8"/>
      <c r="B3303" s="9"/>
      <c r="C3303" s="8" t="s">
        <v>802</v>
      </c>
      <c r="D3303" s="9"/>
      <c r="E3303" s="57" t="s">
        <v>803</v>
      </c>
      <c r="F3303" s="57"/>
    </row>
    <row r="3304" spans="4:9" ht="12.75">
      <c r="D3304" s="5" t="s">
        <v>911</v>
      </c>
      <c r="E3304" s="55" t="s">
        <v>199</v>
      </c>
      <c r="F3304" s="55"/>
      <c r="G3304" s="24">
        <v>3817000</v>
      </c>
      <c r="H3304" s="24">
        <v>0</v>
      </c>
      <c r="I3304" s="24">
        <f aca="true" t="shared" si="160" ref="I3304:I3316">G3304+H3304</f>
        <v>3817000</v>
      </c>
    </row>
    <row r="3305" spans="4:9" ht="12.75">
      <c r="D3305" s="5" t="s">
        <v>912</v>
      </c>
      <c r="E3305" s="55" t="s">
        <v>877</v>
      </c>
      <c r="F3305" s="55"/>
      <c r="G3305" s="24">
        <v>683000</v>
      </c>
      <c r="H3305" s="24">
        <v>0</v>
      </c>
      <c r="I3305" s="24">
        <f t="shared" si="160"/>
        <v>683000</v>
      </c>
    </row>
    <row r="3306" spans="4:9" ht="12.75">
      <c r="D3306" s="5" t="s">
        <v>918</v>
      </c>
      <c r="E3306" s="55" t="s">
        <v>878</v>
      </c>
      <c r="F3306" s="55"/>
      <c r="G3306" s="24">
        <v>38000</v>
      </c>
      <c r="H3306" s="24">
        <v>0</v>
      </c>
      <c r="I3306" s="24">
        <f t="shared" si="160"/>
        <v>38000</v>
      </c>
    </row>
    <row r="3307" spans="4:9" ht="12.75">
      <c r="D3307" s="5" t="s">
        <v>921</v>
      </c>
      <c r="E3307" s="55" t="s">
        <v>880</v>
      </c>
      <c r="F3307" s="55"/>
      <c r="G3307" s="24">
        <v>10000</v>
      </c>
      <c r="H3307" s="24">
        <v>0</v>
      </c>
      <c r="I3307" s="24">
        <f t="shared" si="160"/>
        <v>10000</v>
      </c>
    </row>
    <row r="3308" spans="4:9" ht="12.75">
      <c r="D3308" s="5" t="s">
        <v>919</v>
      </c>
      <c r="E3308" s="55" t="s">
        <v>200</v>
      </c>
      <c r="F3308" s="55"/>
      <c r="G3308" s="24">
        <f>38000+3000</f>
        <v>41000</v>
      </c>
      <c r="H3308" s="24">
        <v>0</v>
      </c>
      <c r="I3308" s="24">
        <f t="shared" si="160"/>
        <v>41000</v>
      </c>
    </row>
    <row r="3309" spans="4:9" ht="12.75">
      <c r="D3309" s="5" t="s">
        <v>913</v>
      </c>
      <c r="E3309" s="55" t="s">
        <v>881</v>
      </c>
      <c r="F3309" s="55"/>
      <c r="G3309" s="24">
        <v>150000</v>
      </c>
      <c r="H3309" s="24">
        <v>0</v>
      </c>
      <c r="I3309" s="24">
        <f t="shared" si="160"/>
        <v>150000</v>
      </c>
    </row>
    <row r="3310" spans="4:9" ht="12.75">
      <c r="D3310" s="5" t="s">
        <v>915</v>
      </c>
      <c r="E3310" s="55" t="s">
        <v>879</v>
      </c>
      <c r="F3310" s="55"/>
      <c r="G3310" s="24">
        <f>250000-3000</f>
        <v>247000</v>
      </c>
      <c r="H3310" s="24">
        <v>0</v>
      </c>
      <c r="I3310" s="24">
        <f t="shared" si="160"/>
        <v>247000</v>
      </c>
    </row>
    <row r="3311" spans="4:9" ht="12.75">
      <c r="D3311" s="5" t="s">
        <v>916</v>
      </c>
      <c r="E3311" s="55" t="s">
        <v>882</v>
      </c>
      <c r="F3311" s="55"/>
      <c r="G3311" s="24">
        <v>1122000</v>
      </c>
      <c r="H3311" s="24">
        <v>0</v>
      </c>
      <c r="I3311" s="24">
        <f t="shared" si="160"/>
        <v>1122000</v>
      </c>
    </row>
    <row r="3312" spans="4:9" ht="12.75">
      <c r="D3312" s="5" t="s">
        <v>923</v>
      </c>
      <c r="E3312" s="55" t="s">
        <v>883</v>
      </c>
      <c r="F3312" s="55"/>
      <c r="G3312" s="24">
        <v>10000</v>
      </c>
      <c r="H3312" s="24">
        <v>0</v>
      </c>
      <c r="I3312" s="24">
        <f t="shared" si="160"/>
        <v>10000</v>
      </c>
    </row>
    <row r="3313" spans="4:9" ht="12.75">
      <c r="D3313" s="5" t="s">
        <v>924</v>
      </c>
      <c r="E3313" s="55" t="s">
        <v>203</v>
      </c>
      <c r="F3313" s="55"/>
      <c r="G3313" s="24">
        <v>15000</v>
      </c>
      <c r="H3313" s="24">
        <v>0</v>
      </c>
      <c r="I3313" s="24">
        <f t="shared" si="160"/>
        <v>15000</v>
      </c>
    </row>
    <row r="3314" spans="4:9" ht="12.75">
      <c r="D3314" s="5" t="s">
        <v>925</v>
      </c>
      <c r="E3314" s="55" t="s">
        <v>884</v>
      </c>
      <c r="F3314" s="55"/>
      <c r="G3314" s="24">
        <v>240000</v>
      </c>
      <c r="H3314" s="24">
        <v>0</v>
      </c>
      <c r="I3314" s="24">
        <f t="shared" si="160"/>
        <v>240000</v>
      </c>
    </row>
    <row r="3315" spans="4:9" ht="12.75">
      <c r="D3315" s="5" t="s">
        <v>754</v>
      </c>
      <c r="E3315" s="55" t="s">
        <v>212</v>
      </c>
      <c r="F3315" s="55"/>
      <c r="G3315" s="24">
        <v>10000</v>
      </c>
      <c r="H3315" s="24">
        <v>0</v>
      </c>
      <c r="I3315" s="24">
        <f t="shared" si="160"/>
        <v>10000</v>
      </c>
    </row>
    <row r="3316" spans="4:9" ht="13.5" thickBot="1">
      <c r="D3316" s="5" t="s">
        <v>927</v>
      </c>
      <c r="E3316" s="55" t="s">
        <v>886</v>
      </c>
      <c r="F3316" s="55"/>
      <c r="G3316" s="24">
        <v>172000</v>
      </c>
      <c r="H3316" s="24">
        <v>0</v>
      </c>
      <c r="I3316" s="24">
        <f t="shared" si="160"/>
        <v>172000</v>
      </c>
    </row>
    <row r="3317" spans="5:9" ht="12.75">
      <c r="E3317" s="58" t="s">
        <v>32</v>
      </c>
      <c r="F3317" s="58"/>
      <c r="G3317" s="25"/>
      <c r="H3317" s="25"/>
      <c r="I3317" s="25"/>
    </row>
    <row r="3318" spans="4:9" ht="13.5" thickBot="1">
      <c r="D3318" s="5" t="s">
        <v>772</v>
      </c>
      <c r="E3318" s="55" t="s">
        <v>773</v>
      </c>
      <c r="F3318" s="55"/>
      <c r="G3318" s="24">
        <f>SUM(G3304:G3317)</f>
        <v>6555000</v>
      </c>
      <c r="I3318" s="24">
        <f>G3318+H3318</f>
        <v>6555000</v>
      </c>
    </row>
    <row r="3319" spans="5:9" ht="13.5" thickBot="1">
      <c r="E3319" s="56" t="s">
        <v>33</v>
      </c>
      <c r="F3319" s="56"/>
      <c r="G3319" s="26">
        <f>SUM(G3318:G3318)</f>
        <v>6555000</v>
      </c>
      <c r="H3319" s="26">
        <f>SUM(H3318:H3318)</f>
        <v>0</v>
      </c>
      <c r="I3319" s="26">
        <f>G3319+H3319</f>
        <v>6555000</v>
      </c>
    </row>
    <row r="3320" spans="5:9" ht="12.75">
      <c r="E3320" s="58" t="s">
        <v>145</v>
      </c>
      <c r="F3320" s="58"/>
      <c r="G3320" s="25"/>
      <c r="H3320" s="25"/>
      <c r="I3320" s="25"/>
    </row>
    <row r="3321" spans="4:9" ht="13.5" thickBot="1">
      <c r="D3321" s="5" t="s">
        <v>772</v>
      </c>
      <c r="E3321" s="55" t="s">
        <v>773</v>
      </c>
      <c r="F3321" s="55"/>
      <c r="G3321" s="24">
        <f>+G3318</f>
        <v>6555000</v>
      </c>
      <c r="H3321" s="24">
        <v>0</v>
      </c>
      <c r="I3321" s="24">
        <f>G3321+H3321</f>
        <v>6555000</v>
      </c>
    </row>
    <row r="3322" spans="5:9" ht="13.5" thickBot="1">
      <c r="E3322" s="56" t="s">
        <v>146</v>
      </c>
      <c r="F3322" s="56"/>
      <c r="G3322" s="26">
        <f>SUM(G3321:G3321)</f>
        <v>6555000</v>
      </c>
      <c r="H3322" s="26">
        <f>SUM(H3321:H3321)</f>
        <v>0</v>
      </c>
      <c r="I3322" s="26">
        <f>G3322+H3322</f>
        <v>6555000</v>
      </c>
    </row>
    <row r="3323" ht="6.75" customHeight="1"/>
    <row r="3324" spans="1:6" ht="12.75">
      <c r="A3324" s="8">
        <v>58</v>
      </c>
      <c r="B3324" s="9" t="s">
        <v>766</v>
      </c>
      <c r="C3324" s="8"/>
      <c r="D3324" s="9"/>
      <c r="E3324" s="57" t="s">
        <v>312</v>
      </c>
      <c r="F3324" s="57"/>
    </row>
    <row r="3325" spans="1:6" ht="12.75">
      <c r="A3325" s="8"/>
      <c r="B3325" s="9"/>
      <c r="C3325" s="8" t="s">
        <v>770</v>
      </c>
      <c r="D3325" s="9"/>
      <c r="E3325" s="57" t="s">
        <v>771</v>
      </c>
      <c r="F3325" s="57"/>
    </row>
    <row r="3326" spans="4:9" ht="12.75">
      <c r="D3326" s="5" t="s">
        <v>911</v>
      </c>
      <c r="E3326" s="55" t="s">
        <v>199</v>
      </c>
      <c r="F3326" s="55"/>
      <c r="G3326" s="24">
        <v>192623000</v>
      </c>
      <c r="H3326" s="24">
        <v>0</v>
      </c>
      <c r="I3326" s="24">
        <f aca="true" t="shared" si="161" ref="I3326:I3339">G3326+H3326</f>
        <v>192623000</v>
      </c>
    </row>
    <row r="3327" spans="4:9" ht="12.75">
      <c r="D3327" s="5" t="s">
        <v>912</v>
      </c>
      <c r="E3327" s="55" t="s">
        <v>877</v>
      </c>
      <c r="F3327" s="55"/>
      <c r="G3327" s="24">
        <v>34724000</v>
      </c>
      <c r="H3327" s="24">
        <v>0</v>
      </c>
      <c r="I3327" s="24">
        <f t="shared" si="161"/>
        <v>34724000</v>
      </c>
    </row>
    <row r="3328" spans="4:9" ht="12.75">
      <c r="D3328" s="5" t="s">
        <v>918</v>
      </c>
      <c r="E3328" s="55" t="s">
        <v>878</v>
      </c>
      <c r="F3328" s="55"/>
      <c r="G3328" s="24">
        <v>500000</v>
      </c>
      <c r="H3328" s="24">
        <v>0</v>
      </c>
      <c r="I3328" s="24">
        <f t="shared" si="161"/>
        <v>500000</v>
      </c>
    </row>
    <row r="3329" spans="4:9" ht="12.75">
      <c r="D3329" s="5" t="s">
        <v>921</v>
      </c>
      <c r="E3329" s="55" t="s">
        <v>880</v>
      </c>
      <c r="F3329" s="55"/>
      <c r="G3329" s="24">
        <v>2800000</v>
      </c>
      <c r="H3329" s="24">
        <v>0</v>
      </c>
      <c r="I3329" s="24">
        <f t="shared" si="161"/>
        <v>2800000</v>
      </c>
    </row>
    <row r="3330" spans="4:9" ht="12.75">
      <c r="D3330" s="5" t="s">
        <v>919</v>
      </c>
      <c r="E3330" s="55" t="s">
        <v>200</v>
      </c>
      <c r="F3330" s="55"/>
      <c r="G3330" s="24">
        <f>7150000+574000</f>
        <v>7724000</v>
      </c>
      <c r="H3330" s="24">
        <v>0</v>
      </c>
      <c r="I3330" s="24">
        <f t="shared" si="161"/>
        <v>7724000</v>
      </c>
    </row>
    <row r="3331" spans="4:9" ht="12.75">
      <c r="D3331" s="5" t="s">
        <v>913</v>
      </c>
      <c r="E3331" s="55" t="s">
        <v>881</v>
      </c>
      <c r="F3331" s="55"/>
      <c r="G3331" s="24">
        <v>232333000</v>
      </c>
      <c r="H3331" s="24">
        <v>0</v>
      </c>
      <c r="I3331" s="24">
        <f t="shared" si="161"/>
        <v>232333000</v>
      </c>
    </row>
    <row r="3332" spans="4:9" ht="12.75">
      <c r="D3332" s="5" t="s">
        <v>915</v>
      </c>
      <c r="E3332" s="55" t="s">
        <v>879</v>
      </c>
      <c r="F3332" s="55"/>
      <c r="G3332" s="24">
        <v>530000</v>
      </c>
      <c r="H3332" s="24">
        <v>0</v>
      </c>
      <c r="I3332" s="24">
        <f t="shared" si="161"/>
        <v>530000</v>
      </c>
    </row>
    <row r="3333" spans="4:9" ht="12.75">
      <c r="D3333" s="5" t="s">
        <v>916</v>
      </c>
      <c r="E3333" s="55" t="s">
        <v>882</v>
      </c>
      <c r="F3333" s="55"/>
      <c r="G3333" s="24">
        <v>87040000</v>
      </c>
      <c r="H3333" s="24">
        <v>0</v>
      </c>
      <c r="I3333" s="24">
        <f t="shared" si="161"/>
        <v>87040000</v>
      </c>
    </row>
    <row r="3334" spans="4:9" ht="12.75">
      <c r="D3334" s="5" t="s">
        <v>923</v>
      </c>
      <c r="E3334" s="55" t="s">
        <v>883</v>
      </c>
      <c r="F3334" s="55"/>
      <c r="G3334" s="24">
        <v>1000000</v>
      </c>
      <c r="H3334" s="24">
        <v>0</v>
      </c>
      <c r="I3334" s="24">
        <f t="shared" si="161"/>
        <v>1000000</v>
      </c>
    </row>
    <row r="3335" spans="4:9" ht="12.75">
      <c r="D3335" s="5" t="s">
        <v>924</v>
      </c>
      <c r="E3335" s="55" t="s">
        <v>203</v>
      </c>
      <c r="F3335" s="55"/>
      <c r="G3335" s="24">
        <v>191360000</v>
      </c>
      <c r="H3335" s="24">
        <v>0</v>
      </c>
      <c r="I3335" s="24">
        <f t="shared" si="161"/>
        <v>191360000</v>
      </c>
    </row>
    <row r="3336" spans="4:9" ht="12.75">
      <c r="D3336" s="5" t="s">
        <v>925</v>
      </c>
      <c r="E3336" s="55" t="s">
        <v>884</v>
      </c>
      <c r="F3336" s="55"/>
      <c r="G3336" s="24">
        <v>127500000</v>
      </c>
      <c r="H3336" s="24">
        <v>88719407.03</v>
      </c>
      <c r="I3336" s="24">
        <f t="shared" si="161"/>
        <v>216219407.03</v>
      </c>
    </row>
    <row r="3337" spans="4:9" ht="12.75">
      <c r="D3337" s="5" t="s">
        <v>754</v>
      </c>
      <c r="E3337" s="55" t="s">
        <v>212</v>
      </c>
      <c r="F3337" s="55"/>
      <c r="G3337" s="24">
        <v>3900000</v>
      </c>
      <c r="H3337" s="24">
        <v>0</v>
      </c>
      <c r="I3337" s="24">
        <f t="shared" si="161"/>
        <v>3900000</v>
      </c>
    </row>
    <row r="3338" spans="4:9" ht="12.75">
      <c r="D3338" s="5" t="s">
        <v>926</v>
      </c>
      <c r="E3338" s="55" t="s">
        <v>885</v>
      </c>
      <c r="F3338" s="55"/>
      <c r="G3338" s="24">
        <v>225200000</v>
      </c>
      <c r="H3338" s="24">
        <v>0</v>
      </c>
      <c r="I3338" s="24">
        <f t="shared" si="161"/>
        <v>225200000</v>
      </c>
    </row>
    <row r="3339" spans="4:9" ht="13.5" thickBot="1">
      <c r="D3339" s="5" t="s">
        <v>927</v>
      </c>
      <c r="E3339" s="55" t="s">
        <v>886</v>
      </c>
      <c r="F3339" s="55"/>
      <c r="G3339" s="24">
        <v>63920000</v>
      </c>
      <c r="H3339" s="24">
        <v>7500000</v>
      </c>
      <c r="I3339" s="24">
        <f t="shared" si="161"/>
        <v>71420000</v>
      </c>
    </row>
    <row r="3340" spans="5:9" ht="12.75">
      <c r="E3340" s="58" t="s">
        <v>346</v>
      </c>
      <c r="F3340" s="58"/>
      <c r="G3340" s="25"/>
      <c r="H3340" s="25"/>
      <c r="I3340" s="25"/>
    </row>
    <row r="3341" spans="4:9" ht="12.75">
      <c r="D3341" s="5" t="s">
        <v>772</v>
      </c>
      <c r="E3341" s="55" t="s">
        <v>773</v>
      </c>
      <c r="F3341" s="55"/>
      <c r="G3341" s="24">
        <f>SUM(G3326:G3340)</f>
        <v>1171154000</v>
      </c>
      <c r="I3341" s="24">
        <f>G3341+H3341</f>
        <v>1171154000</v>
      </c>
    </row>
    <row r="3342" spans="4:9" ht="12.75">
      <c r="D3342" s="5" t="s">
        <v>784</v>
      </c>
      <c r="E3342" s="55" t="s">
        <v>785</v>
      </c>
      <c r="F3342" s="55"/>
      <c r="H3342" s="24">
        <v>90000000</v>
      </c>
      <c r="I3342" s="24">
        <f>G3342+H3342</f>
        <v>90000000</v>
      </c>
    </row>
    <row r="3343" spans="4:9" ht="13.5" thickBot="1">
      <c r="D3343" s="5" t="s">
        <v>825</v>
      </c>
      <c r="E3343" s="55" t="s">
        <v>905</v>
      </c>
      <c r="F3343" s="55"/>
      <c r="H3343" s="24">
        <v>6219407.03</v>
      </c>
      <c r="I3343" s="24">
        <f>G3343+H3343</f>
        <v>6219407.03</v>
      </c>
    </row>
    <row r="3344" spans="5:9" ht="13.5" thickBot="1">
      <c r="E3344" s="56" t="s">
        <v>347</v>
      </c>
      <c r="F3344" s="56"/>
      <c r="G3344" s="26">
        <f>SUM(G3341:G3343)</f>
        <v>1171154000</v>
      </c>
      <c r="H3344" s="26">
        <f>SUM(H3341:H3343)</f>
        <v>96219407.03</v>
      </c>
      <c r="I3344" s="26">
        <f>G3344+H3344</f>
        <v>1267373407.03</v>
      </c>
    </row>
    <row r="3345" spans="5:9" ht="12.75">
      <c r="E3345" s="58" t="s">
        <v>147</v>
      </c>
      <c r="F3345" s="58"/>
      <c r="G3345" s="25"/>
      <c r="H3345" s="25"/>
      <c r="I3345" s="25"/>
    </row>
    <row r="3346" spans="4:9" ht="12.75">
      <c r="D3346" s="5" t="s">
        <v>772</v>
      </c>
      <c r="E3346" s="55" t="s">
        <v>773</v>
      </c>
      <c r="F3346" s="55"/>
      <c r="G3346" s="24">
        <f>+G3341</f>
        <v>1171154000</v>
      </c>
      <c r="H3346" s="24">
        <v>0</v>
      </c>
      <c r="I3346" s="24">
        <f>G3346+H3346</f>
        <v>1171154000</v>
      </c>
    </row>
    <row r="3347" spans="4:9" ht="12.75">
      <c r="D3347" s="5" t="s">
        <v>784</v>
      </c>
      <c r="E3347" s="55" t="s">
        <v>785</v>
      </c>
      <c r="F3347" s="55"/>
      <c r="G3347" s="24">
        <v>0</v>
      </c>
      <c r="H3347" s="24">
        <f>+H3342</f>
        <v>90000000</v>
      </c>
      <c r="I3347" s="24">
        <f>G3347+H3347</f>
        <v>90000000</v>
      </c>
    </row>
    <row r="3348" spans="4:9" ht="13.5" thickBot="1">
      <c r="D3348" s="5" t="s">
        <v>825</v>
      </c>
      <c r="E3348" s="55" t="s">
        <v>905</v>
      </c>
      <c r="F3348" s="55"/>
      <c r="G3348" s="24">
        <v>0</v>
      </c>
      <c r="H3348" s="24">
        <f>+H3343</f>
        <v>6219407.03</v>
      </c>
      <c r="I3348" s="24">
        <f>G3348+H3348</f>
        <v>6219407.03</v>
      </c>
    </row>
    <row r="3349" spans="5:9" ht="13.5" thickBot="1">
      <c r="E3349" s="56" t="s">
        <v>148</v>
      </c>
      <c r="F3349" s="56"/>
      <c r="G3349" s="26">
        <f>SUM(G3346:G3348)</f>
        <v>1171154000</v>
      </c>
      <c r="H3349" s="26">
        <f>SUM(H3346:H3348)</f>
        <v>96219407.03</v>
      </c>
      <c r="I3349" s="26">
        <f>G3349+H3349</f>
        <v>1267373407.03</v>
      </c>
    </row>
    <row r="3350" ht="11.25" customHeight="1"/>
    <row r="3351" spans="1:6" ht="12.75">
      <c r="A3351" s="8">
        <v>59</v>
      </c>
      <c r="E3351" s="61" t="s">
        <v>64</v>
      </c>
      <c r="F3351" s="61"/>
    </row>
    <row r="3352" ht="5.25" customHeight="1"/>
    <row r="3353" spans="1:6" ht="12.75">
      <c r="A3353" s="8" t="s">
        <v>766</v>
      </c>
      <c r="B3353" s="9" t="s">
        <v>514</v>
      </c>
      <c r="C3353" s="8"/>
      <c r="D3353" s="9"/>
      <c r="E3353" s="57" t="s">
        <v>313</v>
      </c>
      <c r="F3353" s="57"/>
    </row>
    <row r="3354" spans="1:6" ht="12.75">
      <c r="A3354" s="8"/>
      <c r="B3354" s="9"/>
      <c r="C3354" s="8" t="s">
        <v>770</v>
      </c>
      <c r="D3354" s="9"/>
      <c r="E3354" s="57" t="s">
        <v>771</v>
      </c>
      <c r="F3354" s="57"/>
    </row>
    <row r="3355" spans="4:9" ht="12.75">
      <c r="D3355" s="5" t="s">
        <v>911</v>
      </c>
      <c r="E3355" s="55" t="s">
        <v>199</v>
      </c>
      <c r="F3355" s="55"/>
      <c r="G3355" s="24">
        <v>2328000</v>
      </c>
      <c r="H3355" s="24">
        <v>0</v>
      </c>
      <c r="I3355" s="24">
        <f aca="true" t="shared" si="162" ref="I3355:I3368">G3355+H3355</f>
        <v>2328000</v>
      </c>
    </row>
    <row r="3356" spans="4:9" ht="12.75">
      <c r="D3356" s="5" t="s">
        <v>912</v>
      </c>
      <c r="E3356" s="55" t="s">
        <v>877</v>
      </c>
      <c r="F3356" s="55"/>
      <c r="G3356" s="24">
        <v>416000</v>
      </c>
      <c r="H3356" s="24">
        <v>0</v>
      </c>
      <c r="I3356" s="24">
        <f t="shared" si="162"/>
        <v>416000</v>
      </c>
    </row>
    <row r="3357" spans="4:9" ht="12.75">
      <c r="D3357" s="5" t="s">
        <v>918</v>
      </c>
      <c r="E3357" s="55" t="s">
        <v>878</v>
      </c>
      <c r="F3357" s="55"/>
      <c r="G3357" s="24">
        <v>10000</v>
      </c>
      <c r="H3357" s="24">
        <v>2000</v>
      </c>
      <c r="I3357" s="24">
        <f t="shared" si="162"/>
        <v>12000</v>
      </c>
    </row>
    <row r="3358" spans="4:9" ht="12.75">
      <c r="D3358" s="5" t="s">
        <v>921</v>
      </c>
      <c r="E3358" s="55" t="s">
        <v>880</v>
      </c>
      <c r="F3358" s="55"/>
      <c r="G3358" s="24">
        <v>20000</v>
      </c>
      <c r="H3358" s="24">
        <v>0</v>
      </c>
      <c r="I3358" s="24">
        <f t="shared" si="162"/>
        <v>20000</v>
      </c>
    </row>
    <row r="3359" spans="4:9" ht="12.75">
      <c r="D3359" s="5" t="s">
        <v>919</v>
      </c>
      <c r="E3359" s="55" t="s">
        <v>200</v>
      </c>
      <c r="F3359" s="55"/>
      <c r="G3359" s="24">
        <v>130000</v>
      </c>
      <c r="H3359" s="24">
        <v>10000</v>
      </c>
      <c r="I3359" s="24">
        <f t="shared" si="162"/>
        <v>140000</v>
      </c>
    </row>
    <row r="3360" spans="4:9" ht="12.75">
      <c r="D3360" s="5" t="s">
        <v>913</v>
      </c>
      <c r="E3360" s="55" t="s">
        <v>881</v>
      </c>
      <c r="F3360" s="55"/>
      <c r="G3360" s="24">
        <v>800000</v>
      </c>
      <c r="H3360" s="24">
        <v>2000</v>
      </c>
      <c r="I3360" s="24">
        <f t="shared" si="162"/>
        <v>802000</v>
      </c>
    </row>
    <row r="3361" spans="4:9" ht="12.75">
      <c r="D3361" s="5" t="s">
        <v>915</v>
      </c>
      <c r="E3361" s="55" t="s">
        <v>879</v>
      </c>
      <c r="F3361" s="55"/>
      <c r="G3361" s="24">
        <v>50000</v>
      </c>
      <c r="H3361" s="24">
        <v>12000</v>
      </c>
      <c r="I3361" s="24">
        <f t="shared" si="162"/>
        <v>62000</v>
      </c>
    </row>
    <row r="3362" spans="4:9" ht="12.75">
      <c r="D3362" s="5" t="s">
        <v>916</v>
      </c>
      <c r="E3362" s="55" t="s">
        <v>882</v>
      </c>
      <c r="F3362" s="55"/>
      <c r="G3362" s="24">
        <v>276000</v>
      </c>
      <c r="H3362" s="24">
        <v>199165.92</v>
      </c>
      <c r="I3362" s="24">
        <f t="shared" si="162"/>
        <v>475165.92000000004</v>
      </c>
    </row>
    <row r="3363" spans="4:9" ht="12.75">
      <c r="D3363" s="5" t="s">
        <v>923</v>
      </c>
      <c r="E3363" s="55" t="s">
        <v>883</v>
      </c>
      <c r="F3363" s="55"/>
      <c r="G3363" s="24">
        <v>35000</v>
      </c>
      <c r="H3363" s="24">
        <v>25000</v>
      </c>
      <c r="I3363" s="24">
        <f t="shared" si="162"/>
        <v>60000</v>
      </c>
    </row>
    <row r="3364" spans="4:9" ht="12.75">
      <c r="D3364" s="5" t="s">
        <v>924</v>
      </c>
      <c r="E3364" s="55" t="s">
        <v>203</v>
      </c>
      <c r="F3364" s="55"/>
      <c r="G3364" s="24">
        <v>50000</v>
      </c>
      <c r="H3364" s="24">
        <v>115000</v>
      </c>
      <c r="I3364" s="24">
        <f t="shared" si="162"/>
        <v>165000</v>
      </c>
    </row>
    <row r="3365" spans="4:9" ht="12.75">
      <c r="D3365" s="5" t="s">
        <v>925</v>
      </c>
      <c r="E3365" s="55" t="s">
        <v>884</v>
      </c>
      <c r="F3365" s="55"/>
      <c r="G3365" s="24">
        <v>136000</v>
      </c>
      <c r="H3365" s="24">
        <v>185000</v>
      </c>
      <c r="I3365" s="24">
        <f t="shared" si="162"/>
        <v>321000</v>
      </c>
    </row>
    <row r="3366" spans="4:9" ht="12.75">
      <c r="D3366" s="5" t="s">
        <v>753</v>
      </c>
      <c r="E3366" s="55" t="s">
        <v>211</v>
      </c>
      <c r="F3366" s="55"/>
      <c r="G3366" s="24">
        <v>0</v>
      </c>
      <c r="H3366" s="24">
        <v>3000</v>
      </c>
      <c r="I3366" s="24">
        <f t="shared" si="162"/>
        <v>3000</v>
      </c>
    </row>
    <row r="3367" spans="4:9" ht="12.75">
      <c r="D3367" s="5" t="s">
        <v>754</v>
      </c>
      <c r="E3367" s="55" t="s">
        <v>212</v>
      </c>
      <c r="F3367" s="55"/>
      <c r="G3367" s="24">
        <v>20000</v>
      </c>
      <c r="H3367" s="24">
        <v>0</v>
      </c>
      <c r="I3367" s="24">
        <f t="shared" si="162"/>
        <v>20000</v>
      </c>
    </row>
    <row r="3368" spans="4:9" ht="13.5" thickBot="1">
      <c r="D3368" s="5" t="s">
        <v>927</v>
      </c>
      <c r="E3368" s="55" t="s">
        <v>886</v>
      </c>
      <c r="F3368" s="55"/>
      <c r="G3368" s="24">
        <v>0</v>
      </c>
      <c r="H3368" s="24">
        <v>65000</v>
      </c>
      <c r="I3368" s="24">
        <f t="shared" si="162"/>
        <v>65000</v>
      </c>
    </row>
    <row r="3369" spans="5:9" ht="12.75">
      <c r="E3369" s="58" t="s">
        <v>346</v>
      </c>
      <c r="F3369" s="58"/>
      <c r="G3369" s="25"/>
      <c r="H3369" s="25"/>
      <c r="I3369" s="25"/>
    </row>
    <row r="3370" spans="4:9" ht="12.75">
      <c r="D3370" s="5" t="s">
        <v>772</v>
      </c>
      <c r="E3370" s="55" t="s">
        <v>773</v>
      </c>
      <c r="F3370" s="55"/>
      <c r="G3370" s="24">
        <v>4271000</v>
      </c>
      <c r="I3370" s="24">
        <f>G3370+H3370</f>
        <v>4271000</v>
      </c>
    </row>
    <row r="3371" spans="4:9" ht="12.75">
      <c r="D3371" s="5" t="s">
        <v>784</v>
      </c>
      <c r="E3371" s="55" t="s">
        <v>785</v>
      </c>
      <c r="F3371" s="55"/>
      <c r="H3371" s="24">
        <v>604000</v>
      </c>
      <c r="I3371" s="24">
        <f>G3371+H3371</f>
        <v>604000</v>
      </c>
    </row>
    <row r="3372" spans="4:9" ht="13.5" thickBot="1">
      <c r="D3372" s="5" t="s">
        <v>825</v>
      </c>
      <c r="E3372" s="55" t="s">
        <v>905</v>
      </c>
      <c r="F3372" s="55"/>
      <c r="H3372" s="24">
        <v>14165.92</v>
      </c>
      <c r="I3372" s="24">
        <f>G3372+H3372</f>
        <v>14165.92</v>
      </c>
    </row>
    <row r="3373" spans="5:9" ht="13.5" thickBot="1">
      <c r="E3373" s="56" t="s">
        <v>347</v>
      </c>
      <c r="F3373" s="56"/>
      <c r="G3373" s="26">
        <f>SUM(G3370:G3372)</f>
        <v>4271000</v>
      </c>
      <c r="H3373" s="26">
        <f>SUM(H3370:H3372)</f>
        <v>618165.92</v>
      </c>
      <c r="I3373" s="26">
        <f>G3373+H3373</f>
        <v>4889165.92</v>
      </c>
    </row>
    <row r="3374" spans="5:9" ht="12.75">
      <c r="E3374" s="58" t="s">
        <v>149</v>
      </c>
      <c r="F3374" s="58"/>
      <c r="G3374" s="25"/>
      <c r="H3374" s="25"/>
      <c r="I3374" s="25"/>
    </row>
    <row r="3375" spans="4:9" ht="12.75">
      <c r="D3375" s="5" t="s">
        <v>772</v>
      </c>
      <c r="E3375" s="55" t="s">
        <v>773</v>
      </c>
      <c r="F3375" s="55"/>
      <c r="G3375" s="24">
        <v>4271000</v>
      </c>
      <c r="H3375" s="24">
        <v>0</v>
      </c>
      <c r="I3375" s="24">
        <f>G3375+H3375</f>
        <v>4271000</v>
      </c>
    </row>
    <row r="3376" spans="4:9" ht="12.75">
      <c r="D3376" s="5" t="s">
        <v>784</v>
      </c>
      <c r="E3376" s="55" t="s">
        <v>785</v>
      </c>
      <c r="F3376" s="55"/>
      <c r="G3376" s="24">
        <v>0</v>
      </c>
      <c r="H3376" s="24">
        <v>604000</v>
      </c>
      <c r="I3376" s="24">
        <f>G3376+H3376</f>
        <v>604000</v>
      </c>
    </row>
    <row r="3377" spans="4:9" ht="13.5" thickBot="1">
      <c r="D3377" s="5" t="s">
        <v>825</v>
      </c>
      <c r="E3377" s="55" t="s">
        <v>905</v>
      </c>
      <c r="F3377" s="55"/>
      <c r="G3377" s="24">
        <v>0</v>
      </c>
      <c r="H3377" s="24">
        <v>14165.92</v>
      </c>
      <c r="I3377" s="24">
        <f>G3377+H3377</f>
        <v>14165.92</v>
      </c>
    </row>
    <row r="3378" spans="5:9" ht="13.5" thickBot="1">
      <c r="E3378" s="56" t="s">
        <v>150</v>
      </c>
      <c r="F3378" s="56"/>
      <c r="G3378" s="26">
        <f>SUM(G3375:G3377)</f>
        <v>4271000</v>
      </c>
      <c r="H3378" s="26">
        <f>SUM(H3375:H3377)</f>
        <v>618165.92</v>
      </c>
      <c r="I3378" s="26">
        <f>G3378+H3378</f>
        <v>4889165.92</v>
      </c>
    </row>
    <row r="3379" ht="9.75" customHeight="1"/>
    <row r="3380" spans="1:6" ht="12.75">
      <c r="A3380" s="8" t="s">
        <v>766</v>
      </c>
      <c r="B3380" s="9" t="s">
        <v>513</v>
      </c>
      <c r="C3380" s="8"/>
      <c r="D3380" s="9"/>
      <c r="E3380" s="57" t="s">
        <v>314</v>
      </c>
      <c r="F3380" s="57"/>
    </row>
    <row r="3381" spans="1:6" ht="12.75">
      <c r="A3381" s="8"/>
      <c r="B3381" s="9"/>
      <c r="C3381" s="8" t="s">
        <v>770</v>
      </c>
      <c r="D3381" s="9"/>
      <c r="E3381" s="57" t="s">
        <v>771</v>
      </c>
      <c r="F3381" s="57"/>
    </row>
    <row r="3382" spans="4:9" ht="12.75">
      <c r="D3382" s="5" t="s">
        <v>911</v>
      </c>
      <c r="E3382" s="55" t="s">
        <v>199</v>
      </c>
      <c r="F3382" s="55"/>
      <c r="G3382" s="24">
        <v>2575000</v>
      </c>
      <c r="H3382" s="24">
        <v>0</v>
      </c>
      <c r="I3382" s="24">
        <f aca="true" t="shared" si="163" ref="I3382:I3394">G3382+H3382</f>
        <v>2575000</v>
      </c>
    </row>
    <row r="3383" spans="4:9" ht="12.75">
      <c r="D3383" s="5" t="s">
        <v>912</v>
      </c>
      <c r="E3383" s="55" t="s">
        <v>877</v>
      </c>
      <c r="F3383" s="55"/>
      <c r="G3383" s="24">
        <v>461000</v>
      </c>
      <c r="H3383" s="24">
        <v>0</v>
      </c>
      <c r="I3383" s="24">
        <f t="shared" si="163"/>
        <v>461000</v>
      </c>
    </row>
    <row r="3384" spans="4:9" ht="12.75">
      <c r="D3384" s="5" t="s">
        <v>918</v>
      </c>
      <c r="E3384" s="55" t="s">
        <v>878</v>
      </c>
      <c r="F3384" s="55"/>
      <c r="G3384" s="24">
        <v>10000</v>
      </c>
      <c r="H3384" s="24">
        <v>0</v>
      </c>
      <c r="I3384" s="24">
        <f t="shared" si="163"/>
        <v>10000</v>
      </c>
    </row>
    <row r="3385" spans="4:9" ht="12.75">
      <c r="D3385" s="5" t="s">
        <v>921</v>
      </c>
      <c r="E3385" s="55" t="s">
        <v>880</v>
      </c>
      <c r="F3385" s="55"/>
      <c r="G3385" s="24">
        <v>10000</v>
      </c>
      <c r="H3385" s="24">
        <v>0</v>
      </c>
      <c r="I3385" s="24">
        <f t="shared" si="163"/>
        <v>10000</v>
      </c>
    </row>
    <row r="3386" spans="4:9" ht="12.75">
      <c r="D3386" s="5" t="s">
        <v>919</v>
      </c>
      <c r="E3386" s="55" t="s">
        <v>200</v>
      </c>
      <c r="F3386" s="55"/>
      <c r="G3386" s="24">
        <v>120000</v>
      </c>
      <c r="H3386" s="24">
        <v>0</v>
      </c>
      <c r="I3386" s="24">
        <f t="shared" si="163"/>
        <v>120000</v>
      </c>
    </row>
    <row r="3387" spans="4:9" ht="12.75">
      <c r="D3387" s="5" t="s">
        <v>913</v>
      </c>
      <c r="E3387" s="55" t="s">
        <v>881</v>
      </c>
      <c r="F3387" s="55"/>
      <c r="G3387" s="24">
        <v>800000</v>
      </c>
      <c r="H3387" s="24">
        <v>25000</v>
      </c>
      <c r="I3387" s="24">
        <f t="shared" si="163"/>
        <v>825000</v>
      </c>
    </row>
    <row r="3388" spans="4:9" ht="12.75">
      <c r="D3388" s="5" t="s">
        <v>915</v>
      </c>
      <c r="E3388" s="55" t="s">
        <v>879</v>
      </c>
      <c r="F3388" s="55"/>
      <c r="G3388" s="24">
        <v>30000</v>
      </c>
      <c r="H3388" s="24">
        <v>50000</v>
      </c>
      <c r="I3388" s="24">
        <f t="shared" si="163"/>
        <v>80000</v>
      </c>
    </row>
    <row r="3389" spans="4:9" ht="12.75">
      <c r="D3389" s="5" t="s">
        <v>916</v>
      </c>
      <c r="E3389" s="55" t="s">
        <v>882</v>
      </c>
      <c r="F3389" s="55"/>
      <c r="G3389" s="24">
        <v>136000</v>
      </c>
      <c r="H3389" s="24">
        <v>117301.69</v>
      </c>
      <c r="I3389" s="24">
        <f t="shared" si="163"/>
        <v>253301.69</v>
      </c>
    </row>
    <row r="3390" spans="4:9" ht="12.75">
      <c r="D3390" s="5" t="s">
        <v>923</v>
      </c>
      <c r="E3390" s="55" t="s">
        <v>883</v>
      </c>
      <c r="F3390" s="55"/>
      <c r="G3390" s="24">
        <v>0</v>
      </c>
      <c r="H3390" s="24">
        <v>12000</v>
      </c>
      <c r="I3390" s="24">
        <f t="shared" si="163"/>
        <v>12000</v>
      </c>
    </row>
    <row r="3391" spans="4:9" ht="12.75">
      <c r="D3391" s="5" t="s">
        <v>924</v>
      </c>
      <c r="E3391" s="55" t="s">
        <v>203</v>
      </c>
      <c r="F3391" s="55"/>
      <c r="G3391" s="24">
        <v>50000</v>
      </c>
      <c r="H3391" s="24">
        <v>75460</v>
      </c>
      <c r="I3391" s="24">
        <f t="shared" si="163"/>
        <v>125460</v>
      </c>
    </row>
    <row r="3392" spans="4:9" ht="12.75">
      <c r="D3392" s="5" t="s">
        <v>925</v>
      </c>
      <c r="E3392" s="55" t="s">
        <v>884</v>
      </c>
      <c r="F3392" s="55"/>
      <c r="G3392" s="24">
        <v>225000</v>
      </c>
      <c r="H3392" s="24">
        <v>75000</v>
      </c>
      <c r="I3392" s="24">
        <f t="shared" si="163"/>
        <v>300000</v>
      </c>
    </row>
    <row r="3393" spans="4:9" ht="12.75">
      <c r="D3393" s="5" t="s">
        <v>754</v>
      </c>
      <c r="E3393" s="55" t="s">
        <v>212</v>
      </c>
      <c r="F3393" s="55"/>
      <c r="G3393" s="24">
        <v>50000</v>
      </c>
      <c r="H3393" s="24">
        <v>0</v>
      </c>
      <c r="I3393" s="24">
        <f t="shared" si="163"/>
        <v>50000</v>
      </c>
    </row>
    <row r="3394" spans="4:9" ht="13.5" thickBot="1">
      <c r="D3394" s="5" t="s">
        <v>927</v>
      </c>
      <c r="E3394" s="55" t="s">
        <v>886</v>
      </c>
      <c r="F3394" s="55"/>
      <c r="G3394" s="24">
        <v>62000</v>
      </c>
      <c r="H3394" s="24">
        <v>0</v>
      </c>
      <c r="I3394" s="24">
        <f t="shared" si="163"/>
        <v>62000</v>
      </c>
    </row>
    <row r="3395" spans="5:9" ht="12.75">
      <c r="E3395" s="58" t="s">
        <v>346</v>
      </c>
      <c r="F3395" s="58"/>
      <c r="G3395" s="25"/>
      <c r="H3395" s="25"/>
      <c r="I3395" s="25"/>
    </row>
    <row r="3396" spans="4:9" ht="12.75">
      <c r="D3396" s="5" t="s">
        <v>772</v>
      </c>
      <c r="E3396" s="55" t="s">
        <v>773</v>
      </c>
      <c r="F3396" s="55"/>
      <c r="G3396" s="24">
        <v>4529000</v>
      </c>
      <c r="I3396" s="24">
        <f>G3396+H3396</f>
        <v>4529000</v>
      </c>
    </row>
    <row r="3397" spans="4:9" ht="12.75">
      <c r="D3397" s="5" t="s">
        <v>784</v>
      </c>
      <c r="E3397" s="55" t="s">
        <v>785</v>
      </c>
      <c r="F3397" s="55"/>
      <c r="H3397" s="24">
        <v>324000</v>
      </c>
      <c r="I3397" s="24">
        <f>G3397+H3397</f>
        <v>324000</v>
      </c>
    </row>
    <row r="3398" spans="4:9" ht="13.5" thickBot="1">
      <c r="D3398" s="5" t="s">
        <v>825</v>
      </c>
      <c r="E3398" s="55" t="s">
        <v>905</v>
      </c>
      <c r="F3398" s="55"/>
      <c r="H3398" s="24">
        <v>30761.69</v>
      </c>
      <c r="I3398" s="24">
        <f>G3398+H3398</f>
        <v>30761.69</v>
      </c>
    </row>
    <row r="3399" spans="5:9" ht="13.5" thickBot="1">
      <c r="E3399" s="56" t="s">
        <v>347</v>
      </c>
      <c r="F3399" s="56"/>
      <c r="G3399" s="26">
        <f>SUM(G3396:G3398)</f>
        <v>4529000</v>
      </c>
      <c r="H3399" s="26">
        <f>SUM(H3396:H3398)</f>
        <v>354761.69</v>
      </c>
      <c r="I3399" s="26">
        <f>G3399+H3399</f>
        <v>4883761.69</v>
      </c>
    </row>
    <row r="3400" spans="5:9" ht="12.75">
      <c r="E3400" s="58" t="s">
        <v>151</v>
      </c>
      <c r="F3400" s="58"/>
      <c r="G3400" s="25"/>
      <c r="H3400" s="25"/>
      <c r="I3400" s="25"/>
    </row>
    <row r="3401" spans="4:9" ht="12.75">
      <c r="D3401" s="5" t="s">
        <v>772</v>
      </c>
      <c r="E3401" s="55" t="s">
        <v>773</v>
      </c>
      <c r="F3401" s="55"/>
      <c r="G3401" s="24">
        <v>4529000</v>
      </c>
      <c r="H3401" s="24">
        <v>0</v>
      </c>
      <c r="I3401" s="24">
        <f>G3401+H3401</f>
        <v>4529000</v>
      </c>
    </row>
    <row r="3402" spans="4:9" ht="12.75">
      <c r="D3402" s="5" t="s">
        <v>784</v>
      </c>
      <c r="E3402" s="55" t="s">
        <v>785</v>
      </c>
      <c r="F3402" s="55"/>
      <c r="G3402" s="24">
        <v>0</v>
      </c>
      <c r="H3402" s="24">
        <f>+H3397</f>
        <v>324000</v>
      </c>
      <c r="I3402" s="24">
        <f>G3402+H3402</f>
        <v>324000</v>
      </c>
    </row>
    <row r="3403" spans="4:9" ht="13.5" thickBot="1">
      <c r="D3403" s="5" t="s">
        <v>825</v>
      </c>
      <c r="E3403" s="55" t="s">
        <v>905</v>
      </c>
      <c r="F3403" s="55"/>
      <c r="G3403" s="24">
        <v>0</v>
      </c>
      <c r="H3403" s="24">
        <f>+H3398</f>
        <v>30761.69</v>
      </c>
      <c r="I3403" s="24">
        <f>G3403+H3403</f>
        <v>30761.69</v>
      </c>
    </row>
    <row r="3404" spans="5:9" ht="13.5" thickBot="1">
      <c r="E3404" s="56" t="s">
        <v>152</v>
      </c>
      <c r="F3404" s="56"/>
      <c r="G3404" s="26">
        <f>SUM(G3401:G3403)</f>
        <v>4529000</v>
      </c>
      <c r="H3404" s="26">
        <f>SUM(H3401:H3403)</f>
        <v>354761.69</v>
      </c>
      <c r="I3404" s="26">
        <f>G3404+H3404</f>
        <v>4883761.69</v>
      </c>
    </row>
    <row r="3405" ht="8.25" customHeight="1"/>
    <row r="3406" spans="1:6" ht="12.75">
      <c r="A3406" s="8" t="s">
        <v>766</v>
      </c>
      <c r="B3406" s="9" t="s">
        <v>512</v>
      </c>
      <c r="C3406" s="8"/>
      <c r="D3406" s="9"/>
      <c r="E3406" s="57" t="s">
        <v>315</v>
      </c>
      <c r="F3406" s="57"/>
    </row>
    <row r="3407" spans="1:6" ht="12.75">
      <c r="A3407" s="8"/>
      <c r="B3407" s="9"/>
      <c r="C3407" s="8" t="s">
        <v>770</v>
      </c>
      <c r="D3407" s="9"/>
      <c r="E3407" s="57" t="s">
        <v>771</v>
      </c>
      <c r="F3407" s="57"/>
    </row>
    <row r="3408" spans="4:9" ht="12.75">
      <c r="D3408" s="5" t="s">
        <v>911</v>
      </c>
      <c r="E3408" s="55" t="s">
        <v>199</v>
      </c>
      <c r="F3408" s="55"/>
      <c r="G3408" s="24">
        <v>1859000</v>
      </c>
      <c r="H3408" s="24">
        <v>0</v>
      </c>
      <c r="I3408" s="24">
        <f aca="true" t="shared" si="164" ref="I3408:I3423">G3408+H3408</f>
        <v>1859000</v>
      </c>
    </row>
    <row r="3409" spans="4:9" ht="12.75">
      <c r="D3409" s="5" t="s">
        <v>912</v>
      </c>
      <c r="E3409" s="55" t="s">
        <v>877</v>
      </c>
      <c r="F3409" s="55"/>
      <c r="G3409" s="24">
        <v>333000</v>
      </c>
      <c r="H3409" s="24">
        <v>0</v>
      </c>
      <c r="I3409" s="24">
        <f t="shared" si="164"/>
        <v>333000</v>
      </c>
    </row>
    <row r="3410" spans="4:9" ht="12.75">
      <c r="D3410" s="5" t="s">
        <v>918</v>
      </c>
      <c r="E3410" s="55" t="s">
        <v>878</v>
      </c>
      <c r="F3410" s="55"/>
      <c r="G3410" s="24">
        <v>10000</v>
      </c>
      <c r="H3410" s="24">
        <v>0</v>
      </c>
      <c r="I3410" s="24">
        <f t="shared" si="164"/>
        <v>10000</v>
      </c>
    </row>
    <row r="3411" spans="4:9" ht="12.75">
      <c r="D3411" s="5" t="s">
        <v>921</v>
      </c>
      <c r="E3411" s="55" t="s">
        <v>880</v>
      </c>
      <c r="F3411" s="55"/>
      <c r="G3411" s="24">
        <v>35000</v>
      </c>
      <c r="H3411" s="24">
        <v>0</v>
      </c>
      <c r="I3411" s="24">
        <f t="shared" si="164"/>
        <v>35000</v>
      </c>
    </row>
    <row r="3412" spans="4:9" ht="12.75">
      <c r="D3412" s="5" t="s">
        <v>919</v>
      </c>
      <c r="E3412" s="55" t="s">
        <v>200</v>
      </c>
      <c r="F3412" s="55"/>
      <c r="G3412" s="24">
        <v>38000</v>
      </c>
      <c r="H3412" s="24">
        <v>0</v>
      </c>
      <c r="I3412" s="24">
        <f t="shared" si="164"/>
        <v>38000</v>
      </c>
    </row>
    <row r="3413" spans="4:9" ht="12.75">
      <c r="D3413" s="5" t="s">
        <v>913</v>
      </c>
      <c r="E3413" s="55" t="s">
        <v>881</v>
      </c>
      <c r="F3413" s="55"/>
      <c r="G3413" s="24">
        <v>830000</v>
      </c>
      <c r="H3413" s="24">
        <v>20000</v>
      </c>
      <c r="I3413" s="24">
        <f t="shared" si="164"/>
        <v>850000</v>
      </c>
    </row>
    <row r="3414" spans="4:9" ht="12.75">
      <c r="D3414" s="5" t="s">
        <v>915</v>
      </c>
      <c r="E3414" s="55" t="s">
        <v>879</v>
      </c>
      <c r="F3414" s="55"/>
      <c r="G3414" s="24">
        <v>38000</v>
      </c>
      <c r="H3414" s="24">
        <v>79000</v>
      </c>
      <c r="I3414" s="24">
        <f t="shared" si="164"/>
        <v>117000</v>
      </c>
    </row>
    <row r="3415" spans="4:9" ht="12.75">
      <c r="D3415" s="5" t="s">
        <v>916</v>
      </c>
      <c r="E3415" s="55" t="s">
        <v>882</v>
      </c>
      <c r="F3415" s="55"/>
      <c r="G3415" s="24">
        <v>80000</v>
      </c>
      <c r="H3415" s="24">
        <v>221720.79</v>
      </c>
      <c r="I3415" s="24">
        <f t="shared" si="164"/>
        <v>301720.79000000004</v>
      </c>
    </row>
    <row r="3416" spans="4:9" ht="12.75">
      <c r="D3416" s="5" t="s">
        <v>923</v>
      </c>
      <c r="E3416" s="55" t="s">
        <v>883</v>
      </c>
      <c r="F3416" s="55"/>
      <c r="G3416" s="24">
        <v>20000</v>
      </c>
      <c r="H3416" s="24">
        <v>0</v>
      </c>
      <c r="I3416" s="24">
        <f t="shared" si="164"/>
        <v>20000</v>
      </c>
    </row>
    <row r="3417" spans="4:9" ht="12.75">
      <c r="D3417" s="5" t="s">
        <v>924</v>
      </c>
      <c r="E3417" s="55" t="s">
        <v>203</v>
      </c>
      <c r="F3417" s="55"/>
      <c r="G3417" s="24">
        <v>101000</v>
      </c>
      <c r="H3417" s="24">
        <v>100000</v>
      </c>
      <c r="I3417" s="24">
        <f t="shared" si="164"/>
        <v>201000</v>
      </c>
    </row>
    <row r="3418" spans="4:9" ht="12.75">
      <c r="D3418" s="5" t="s">
        <v>925</v>
      </c>
      <c r="E3418" s="55" t="s">
        <v>884</v>
      </c>
      <c r="F3418" s="55"/>
      <c r="G3418" s="24">
        <v>300000</v>
      </c>
      <c r="H3418" s="24">
        <v>227000</v>
      </c>
      <c r="I3418" s="24">
        <f t="shared" si="164"/>
        <v>527000</v>
      </c>
    </row>
    <row r="3419" spans="4:9" ht="12.75">
      <c r="D3419" s="5" t="s">
        <v>746</v>
      </c>
      <c r="E3419" s="55" t="s">
        <v>206</v>
      </c>
      <c r="F3419" s="55"/>
      <c r="G3419" s="24">
        <v>0</v>
      </c>
      <c r="H3419" s="24">
        <v>32000</v>
      </c>
      <c r="I3419" s="24">
        <f t="shared" si="164"/>
        <v>32000</v>
      </c>
    </row>
    <row r="3420" spans="4:9" ht="12.75">
      <c r="D3420" s="5" t="s">
        <v>754</v>
      </c>
      <c r="E3420" s="55" t="s">
        <v>212</v>
      </c>
      <c r="F3420" s="55"/>
      <c r="G3420" s="24">
        <v>18000</v>
      </c>
      <c r="H3420" s="24">
        <v>22000</v>
      </c>
      <c r="I3420" s="24">
        <f t="shared" si="164"/>
        <v>40000</v>
      </c>
    </row>
    <row r="3421" spans="4:9" ht="12.75">
      <c r="D3421" s="5" t="s">
        <v>927</v>
      </c>
      <c r="E3421" s="55" t="s">
        <v>886</v>
      </c>
      <c r="F3421" s="55"/>
      <c r="G3421" s="24">
        <v>138000</v>
      </c>
      <c r="H3421" s="24">
        <v>905000</v>
      </c>
      <c r="I3421" s="24">
        <f t="shared" si="164"/>
        <v>1043000</v>
      </c>
    </row>
    <row r="3422" spans="4:9" ht="12.75">
      <c r="D3422" s="5" t="s">
        <v>214</v>
      </c>
      <c r="E3422" s="55" t="s">
        <v>215</v>
      </c>
      <c r="F3422" s="55"/>
      <c r="G3422" s="24">
        <v>0</v>
      </c>
      <c r="H3422" s="24">
        <v>77000</v>
      </c>
      <c r="I3422" s="24">
        <f t="shared" si="164"/>
        <v>77000</v>
      </c>
    </row>
    <row r="3423" spans="4:9" ht="13.5" thickBot="1">
      <c r="D3423" s="5" t="s">
        <v>937</v>
      </c>
      <c r="E3423" s="55" t="s">
        <v>892</v>
      </c>
      <c r="F3423" s="55"/>
      <c r="G3423" s="24">
        <v>0</v>
      </c>
      <c r="H3423" s="24">
        <v>90000</v>
      </c>
      <c r="I3423" s="24">
        <f t="shared" si="164"/>
        <v>90000</v>
      </c>
    </row>
    <row r="3424" spans="5:9" ht="12.75">
      <c r="E3424" s="58" t="s">
        <v>346</v>
      </c>
      <c r="F3424" s="58"/>
      <c r="G3424" s="25"/>
      <c r="H3424" s="25"/>
      <c r="I3424" s="25"/>
    </row>
    <row r="3425" spans="4:9" ht="12.75">
      <c r="D3425" s="5" t="s">
        <v>772</v>
      </c>
      <c r="E3425" s="55" t="s">
        <v>773</v>
      </c>
      <c r="F3425" s="55"/>
      <c r="G3425" s="24">
        <v>3800000</v>
      </c>
      <c r="I3425" s="24">
        <f aca="true" t="shared" si="165" ref="I3425:I3432">G3425+H3425</f>
        <v>3800000</v>
      </c>
    </row>
    <row r="3426" spans="4:9" ht="12.75">
      <c r="D3426" s="5" t="s">
        <v>784</v>
      </c>
      <c r="E3426" s="55" t="s">
        <v>785</v>
      </c>
      <c r="F3426" s="55"/>
      <c r="H3426" s="24">
        <v>1030000</v>
      </c>
      <c r="I3426" s="24">
        <f t="shared" si="165"/>
        <v>1030000</v>
      </c>
    </row>
    <row r="3427" spans="4:9" ht="12.75">
      <c r="D3427" s="5" t="s">
        <v>780</v>
      </c>
      <c r="E3427" s="55" t="s">
        <v>781</v>
      </c>
      <c r="F3427" s="55"/>
      <c r="H3427" s="24">
        <v>120000</v>
      </c>
      <c r="I3427" s="24">
        <f t="shared" si="165"/>
        <v>120000</v>
      </c>
    </row>
    <row r="3428" spans="4:9" ht="12.75">
      <c r="D3428" s="5" t="s">
        <v>853</v>
      </c>
      <c r="E3428" s="55" t="s">
        <v>854</v>
      </c>
      <c r="F3428" s="55"/>
      <c r="H3428" s="24">
        <v>157000</v>
      </c>
      <c r="I3428" s="24">
        <f t="shared" si="165"/>
        <v>157000</v>
      </c>
    </row>
    <row r="3429" spans="4:9" ht="12.75">
      <c r="D3429" s="5" t="s">
        <v>796</v>
      </c>
      <c r="E3429" s="55" t="s">
        <v>797</v>
      </c>
      <c r="F3429" s="55"/>
      <c r="H3429" s="24">
        <v>265000</v>
      </c>
      <c r="I3429" s="24">
        <f t="shared" si="165"/>
        <v>265000</v>
      </c>
    </row>
    <row r="3430" spans="4:9" ht="12.75">
      <c r="D3430" s="5" t="s">
        <v>786</v>
      </c>
      <c r="E3430" s="55" t="s">
        <v>787</v>
      </c>
      <c r="F3430" s="55"/>
      <c r="H3430" s="24">
        <v>150000</v>
      </c>
      <c r="I3430" s="24">
        <f t="shared" si="165"/>
        <v>150000</v>
      </c>
    </row>
    <row r="3431" spans="4:9" ht="13.5" thickBot="1">
      <c r="D3431" s="5" t="s">
        <v>825</v>
      </c>
      <c r="E3431" s="55" t="s">
        <v>905</v>
      </c>
      <c r="F3431" s="55"/>
      <c r="H3431" s="24">
        <v>51720.79</v>
      </c>
      <c r="I3431" s="24">
        <f t="shared" si="165"/>
        <v>51720.79</v>
      </c>
    </row>
    <row r="3432" spans="5:9" ht="13.5" thickBot="1">
      <c r="E3432" s="56" t="s">
        <v>347</v>
      </c>
      <c r="F3432" s="56"/>
      <c r="G3432" s="26">
        <f>SUM(G3425:G3431)</f>
        <v>3800000</v>
      </c>
      <c r="H3432" s="26">
        <f>SUM(H3425:H3431)</f>
        <v>1773720.79</v>
      </c>
      <c r="I3432" s="26">
        <f t="shared" si="165"/>
        <v>5573720.79</v>
      </c>
    </row>
    <row r="3433" spans="5:9" ht="12.75">
      <c r="E3433" s="58" t="s">
        <v>153</v>
      </c>
      <c r="F3433" s="58"/>
      <c r="G3433" s="25"/>
      <c r="H3433" s="25"/>
      <c r="I3433" s="25"/>
    </row>
    <row r="3434" spans="4:9" ht="12.75">
      <c r="D3434" s="5" t="s">
        <v>772</v>
      </c>
      <c r="E3434" s="55" t="s">
        <v>773</v>
      </c>
      <c r="F3434" s="55"/>
      <c r="G3434" s="24">
        <v>3800000</v>
      </c>
      <c r="H3434" s="24">
        <v>0</v>
      </c>
      <c r="I3434" s="24">
        <f aca="true" t="shared" si="166" ref="I3434:I3441">G3434+H3434</f>
        <v>3800000</v>
      </c>
    </row>
    <row r="3435" spans="4:9" ht="12.75">
      <c r="D3435" s="5" t="s">
        <v>784</v>
      </c>
      <c r="E3435" s="55" t="s">
        <v>785</v>
      </c>
      <c r="F3435" s="55"/>
      <c r="G3435" s="24">
        <v>0</v>
      </c>
      <c r="H3435" s="24">
        <f aca="true" t="shared" si="167" ref="H3435:H3440">+H3426</f>
        <v>1030000</v>
      </c>
      <c r="I3435" s="24">
        <f t="shared" si="166"/>
        <v>1030000</v>
      </c>
    </row>
    <row r="3436" spans="4:9" ht="12.75">
      <c r="D3436" s="5" t="s">
        <v>780</v>
      </c>
      <c r="E3436" s="55" t="s">
        <v>781</v>
      </c>
      <c r="F3436" s="55"/>
      <c r="G3436" s="24">
        <v>0</v>
      </c>
      <c r="H3436" s="24">
        <f t="shared" si="167"/>
        <v>120000</v>
      </c>
      <c r="I3436" s="24">
        <f t="shared" si="166"/>
        <v>120000</v>
      </c>
    </row>
    <row r="3437" spans="4:9" ht="12.75">
      <c r="D3437" s="5" t="s">
        <v>853</v>
      </c>
      <c r="E3437" s="55" t="s">
        <v>854</v>
      </c>
      <c r="F3437" s="55"/>
      <c r="G3437" s="24">
        <v>0</v>
      </c>
      <c r="H3437" s="24">
        <f t="shared" si="167"/>
        <v>157000</v>
      </c>
      <c r="I3437" s="24">
        <f t="shared" si="166"/>
        <v>157000</v>
      </c>
    </row>
    <row r="3438" spans="4:9" ht="12.75">
      <c r="D3438" s="5" t="s">
        <v>796</v>
      </c>
      <c r="E3438" s="55" t="s">
        <v>797</v>
      </c>
      <c r="F3438" s="55"/>
      <c r="G3438" s="24">
        <v>0</v>
      </c>
      <c r="H3438" s="24">
        <f t="shared" si="167"/>
        <v>265000</v>
      </c>
      <c r="I3438" s="24">
        <f t="shared" si="166"/>
        <v>265000</v>
      </c>
    </row>
    <row r="3439" spans="4:9" ht="12.75">
      <c r="D3439" s="5" t="s">
        <v>786</v>
      </c>
      <c r="E3439" s="55" t="s">
        <v>787</v>
      </c>
      <c r="F3439" s="55"/>
      <c r="G3439" s="24">
        <v>0</v>
      </c>
      <c r="H3439" s="24">
        <f t="shared" si="167"/>
        <v>150000</v>
      </c>
      <c r="I3439" s="24">
        <f t="shared" si="166"/>
        <v>150000</v>
      </c>
    </row>
    <row r="3440" spans="4:9" ht="13.5" thickBot="1">
      <c r="D3440" s="5" t="s">
        <v>825</v>
      </c>
      <c r="E3440" s="55" t="s">
        <v>905</v>
      </c>
      <c r="F3440" s="55"/>
      <c r="G3440" s="24">
        <v>0</v>
      </c>
      <c r="H3440" s="24">
        <f t="shared" si="167"/>
        <v>51720.79</v>
      </c>
      <c r="I3440" s="24">
        <f t="shared" si="166"/>
        <v>51720.79</v>
      </c>
    </row>
    <row r="3441" spans="5:9" ht="13.5" thickBot="1">
      <c r="E3441" s="56" t="s">
        <v>154</v>
      </c>
      <c r="F3441" s="56"/>
      <c r="G3441" s="26">
        <f>SUM(G3434:G3440)</f>
        <v>3800000</v>
      </c>
      <c r="H3441" s="26">
        <f>SUM(H3434:H3440)</f>
        <v>1773720.79</v>
      </c>
      <c r="I3441" s="26">
        <f t="shared" si="166"/>
        <v>5573720.79</v>
      </c>
    </row>
    <row r="3442" ht="7.5" customHeight="1"/>
    <row r="3443" spans="1:6" ht="12.75">
      <c r="A3443" s="8" t="s">
        <v>766</v>
      </c>
      <c r="B3443" s="9" t="s">
        <v>511</v>
      </c>
      <c r="C3443" s="8"/>
      <c r="D3443" s="9"/>
      <c r="E3443" s="57" t="s">
        <v>316</v>
      </c>
      <c r="F3443" s="57"/>
    </row>
    <row r="3444" spans="1:6" ht="12.75">
      <c r="A3444" s="8"/>
      <c r="B3444" s="9"/>
      <c r="C3444" s="8" t="s">
        <v>770</v>
      </c>
      <c r="D3444" s="9"/>
      <c r="E3444" s="57" t="s">
        <v>771</v>
      </c>
      <c r="F3444" s="57"/>
    </row>
    <row r="3445" spans="4:9" ht="12.75">
      <c r="D3445" s="5" t="s">
        <v>911</v>
      </c>
      <c r="E3445" s="55" t="s">
        <v>199</v>
      </c>
      <c r="F3445" s="55"/>
      <c r="G3445" s="24">
        <v>3215000</v>
      </c>
      <c r="H3445" s="24">
        <v>0</v>
      </c>
      <c r="I3445" s="24">
        <f aca="true" t="shared" si="168" ref="I3445:I3456">G3445+H3445</f>
        <v>3215000</v>
      </c>
    </row>
    <row r="3446" spans="4:9" ht="12.75">
      <c r="D3446" s="5" t="s">
        <v>912</v>
      </c>
      <c r="E3446" s="55" t="s">
        <v>877</v>
      </c>
      <c r="F3446" s="55"/>
      <c r="G3446" s="24">
        <v>575000</v>
      </c>
      <c r="H3446" s="24">
        <v>0</v>
      </c>
      <c r="I3446" s="24">
        <f t="shared" si="168"/>
        <v>575000</v>
      </c>
    </row>
    <row r="3447" spans="4:9" ht="12.75">
      <c r="D3447" s="5" t="s">
        <v>921</v>
      </c>
      <c r="E3447" s="55" t="s">
        <v>880</v>
      </c>
      <c r="F3447" s="55"/>
      <c r="G3447" s="24">
        <v>0</v>
      </c>
      <c r="H3447" s="24">
        <v>50000</v>
      </c>
      <c r="I3447" s="24">
        <f t="shared" si="168"/>
        <v>50000</v>
      </c>
    </row>
    <row r="3448" spans="4:9" ht="12.75">
      <c r="D3448" s="5" t="s">
        <v>919</v>
      </c>
      <c r="E3448" s="55" t="s">
        <v>200</v>
      </c>
      <c r="F3448" s="55"/>
      <c r="G3448" s="24">
        <v>380000</v>
      </c>
      <c r="H3448" s="24">
        <v>0</v>
      </c>
      <c r="I3448" s="24">
        <f t="shared" si="168"/>
        <v>380000</v>
      </c>
    </row>
    <row r="3449" spans="4:9" ht="12.75">
      <c r="D3449" s="5" t="s">
        <v>922</v>
      </c>
      <c r="E3449" s="55" t="s">
        <v>201</v>
      </c>
      <c r="F3449" s="55"/>
      <c r="G3449" s="24">
        <v>0</v>
      </c>
      <c r="H3449" s="24">
        <v>50000</v>
      </c>
      <c r="I3449" s="24">
        <f t="shared" si="168"/>
        <v>50000</v>
      </c>
    </row>
    <row r="3450" spans="4:9" ht="12.75">
      <c r="D3450" s="5" t="s">
        <v>913</v>
      </c>
      <c r="E3450" s="55" t="s">
        <v>881</v>
      </c>
      <c r="F3450" s="55"/>
      <c r="G3450" s="24">
        <v>640000</v>
      </c>
      <c r="H3450" s="24">
        <v>75000</v>
      </c>
      <c r="I3450" s="24">
        <f t="shared" si="168"/>
        <v>715000</v>
      </c>
    </row>
    <row r="3451" spans="4:9" ht="12.75">
      <c r="D3451" s="5" t="s">
        <v>915</v>
      </c>
      <c r="E3451" s="55" t="s">
        <v>879</v>
      </c>
      <c r="F3451" s="55"/>
      <c r="G3451" s="24">
        <v>25000</v>
      </c>
      <c r="H3451" s="24">
        <v>38000</v>
      </c>
      <c r="I3451" s="24">
        <f t="shared" si="168"/>
        <v>63000</v>
      </c>
    </row>
    <row r="3452" spans="4:9" ht="12.75">
      <c r="D3452" s="5" t="s">
        <v>916</v>
      </c>
      <c r="E3452" s="55" t="s">
        <v>882</v>
      </c>
      <c r="F3452" s="55"/>
      <c r="G3452" s="24">
        <v>136000</v>
      </c>
      <c r="H3452" s="24">
        <v>155000</v>
      </c>
      <c r="I3452" s="24">
        <f t="shared" si="168"/>
        <v>291000</v>
      </c>
    </row>
    <row r="3453" spans="4:9" ht="12.75">
      <c r="D3453" s="5" t="s">
        <v>924</v>
      </c>
      <c r="E3453" s="55" t="s">
        <v>203</v>
      </c>
      <c r="F3453" s="55"/>
      <c r="G3453" s="24">
        <v>40000</v>
      </c>
      <c r="H3453" s="24">
        <v>35000</v>
      </c>
      <c r="I3453" s="24">
        <f t="shared" si="168"/>
        <v>75000</v>
      </c>
    </row>
    <row r="3454" spans="4:9" ht="12.75">
      <c r="D3454" s="5" t="s">
        <v>925</v>
      </c>
      <c r="E3454" s="55" t="s">
        <v>884</v>
      </c>
      <c r="F3454" s="55"/>
      <c r="G3454" s="24">
        <v>450000</v>
      </c>
      <c r="H3454" s="24">
        <v>250000</v>
      </c>
      <c r="I3454" s="24">
        <f t="shared" si="168"/>
        <v>700000</v>
      </c>
    </row>
    <row r="3455" spans="4:9" ht="12.75">
      <c r="D3455" s="5" t="s">
        <v>754</v>
      </c>
      <c r="E3455" s="55" t="s">
        <v>212</v>
      </c>
      <c r="F3455" s="55"/>
      <c r="G3455" s="24">
        <v>20000</v>
      </c>
      <c r="H3455" s="24">
        <v>0</v>
      </c>
      <c r="I3455" s="24">
        <f t="shared" si="168"/>
        <v>20000</v>
      </c>
    </row>
    <row r="3456" spans="4:9" ht="13.5" thickBot="1">
      <c r="D3456" s="5" t="s">
        <v>927</v>
      </c>
      <c r="E3456" s="55" t="s">
        <v>886</v>
      </c>
      <c r="F3456" s="55"/>
      <c r="G3456" s="24">
        <v>29000</v>
      </c>
      <c r="H3456" s="24">
        <v>202000</v>
      </c>
      <c r="I3456" s="24">
        <f t="shared" si="168"/>
        <v>231000</v>
      </c>
    </row>
    <row r="3457" spans="5:9" ht="12.75">
      <c r="E3457" s="58" t="s">
        <v>346</v>
      </c>
      <c r="F3457" s="58"/>
      <c r="G3457" s="25"/>
      <c r="H3457" s="25"/>
      <c r="I3457" s="25"/>
    </row>
    <row r="3458" spans="4:9" ht="12.75">
      <c r="D3458" s="5" t="s">
        <v>772</v>
      </c>
      <c r="E3458" s="55" t="s">
        <v>773</v>
      </c>
      <c r="F3458" s="55"/>
      <c r="G3458" s="24">
        <v>5510000</v>
      </c>
      <c r="I3458" s="24">
        <f>G3458+H3458</f>
        <v>5510000</v>
      </c>
    </row>
    <row r="3459" spans="4:9" ht="13.5" thickBot="1">
      <c r="D3459" s="5" t="s">
        <v>784</v>
      </c>
      <c r="E3459" s="55" t="s">
        <v>785</v>
      </c>
      <c r="F3459" s="55"/>
      <c r="H3459" s="24">
        <f>SUM(H3445:H3458)</f>
        <v>855000</v>
      </c>
      <c r="I3459" s="24">
        <f>G3459+H3459</f>
        <v>855000</v>
      </c>
    </row>
    <row r="3460" spans="5:9" ht="13.5" thickBot="1">
      <c r="E3460" s="56" t="s">
        <v>347</v>
      </c>
      <c r="F3460" s="56"/>
      <c r="G3460" s="26">
        <f>SUM(G3458:G3459)</f>
        <v>5510000</v>
      </c>
      <c r="H3460" s="26">
        <f>SUM(H3458:H3459)</f>
        <v>855000</v>
      </c>
      <c r="I3460" s="26">
        <f>G3460+H3460</f>
        <v>6365000</v>
      </c>
    </row>
    <row r="3461" spans="5:9" ht="12.75">
      <c r="E3461" s="58" t="s">
        <v>155</v>
      </c>
      <c r="F3461" s="58"/>
      <c r="G3461" s="25"/>
      <c r="H3461" s="25"/>
      <c r="I3461" s="25"/>
    </row>
    <row r="3462" spans="4:9" ht="12.75">
      <c r="D3462" s="5" t="s">
        <v>772</v>
      </c>
      <c r="E3462" s="55" t="s">
        <v>773</v>
      </c>
      <c r="F3462" s="55"/>
      <c r="G3462" s="24">
        <v>5510000</v>
      </c>
      <c r="H3462" s="24">
        <v>0</v>
      </c>
      <c r="I3462" s="24">
        <f>G3462+H3462</f>
        <v>5510000</v>
      </c>
    </row>
    <row r="3463" spans="4:9" ht="13.5" thickBot="1">
      <c r="D3463" s="5" t="s">
        <v>784</v>
      </c>
      <c r="E3463" s="55" t="s">
        <v>785</v>
      </c>
      <c r="F3463" s="55"/>
      <c r="G3463" s="24">
        <v>0</v>
      </c>
      <c r="H3463" s="24">
        <v>855000</v>
      </c>
      <c r="I3463" s="24">
        <f>G3463+H3463</f>
        <v>855000</v>
      </c>
    </row>
    <row r="3464" spans="5:9" ht="13.5" thickBot="1">
      <c r="E3464" s="56" t="s">
        <v>156</v>
      </c>
      <c r="F3464" s="56"/>
      <c r="G3464" s="26">
        <f>SUM(G3462:G3463)</f>
        <v>5510000</v>
      </c>
      <c r="H3464" s="26">
        <f>SUM(H3462:H3463)</f>
        <v>855000</v>
      </c>
      <c r="I3464" s="26">
        <f>G3464+H3464</f>
        <v>6365000</v>
      </c>
    </row>
    <row r="3465" ht="6.75" customHeight="1"/>
    <row r="3466" spans="1:6" ht="12.75">
      <c r="A3466" s="8" t="s">
        <v>766</v>
      </c>
      <c r="B3466" s="9" t="s">
        <v>510</v>
      </c>
      <c r="C3466" s="8"/>
      <c r="D3466" s="9"/>
      <c r="E3466" s="57" t="s">
        <v>317</v>
      </c>
      <c r="F3466" s="57"/>
    </row>
    <row r="3467" spans="1:6" ht="12.75">
      <c r="A3467" s="8"/>
      <c r="B3467" s="9"/>
      <c r="C3467" s="8" t="s">
        <v>770</v>
      </c>
      <c r="D3467" s="9"/>
      <c r="E3467" s="57" t="s">
        <v>771</v>
      </c>
      <c r="F3467" s="57"/>
    </row>
    <row r="3468" spans="4:9" ht="12.75">
      <c r="D3468" s="5" t="s">
        <v>911</v>
      </c>
      <c r="E3468" s="55" t="s">
        <v>199</v>
      </c>
      <c r="F3468" s="55"/>
      <c r="G3468" s="24">
        <v>2651000</v>
      </c>
      <c r="H3468" s="24">
        <v>0</v>
      </c>
      <c r="I3468" s="24">
        <f aca="true" t="shared" si="169" ref="I3468:I3480">G3468+H3468</f>
        <v>2651000</v>
      </c>
    </row>
    <row r="3469" spans="4:9" ht="12.75">
      <c r="D3469" s="5" t="s">
        <v>912</v>
      </c>
      <c r="E3469" s="55" t="s">
        <v>877</v>
      </c>
      <c r="F3469" s="55"/>
      <c r="G3469" s="24">
        <v>474000</v>
      </c>
      <c r="H3469" s="24">
        <v>0</v>
      </c>
      <c r="I3469" s="24">
        <f t="shared" si="169"/>
        <v>474000</v>
      </c>
    </row>
    <row r="3470" spans="4:9" ht="12.75">
      <c r="D3470" s="5" t="s">
        <v>918</v>
      </c>
      <c r="E3470" s="55" t="s">
        <v>878</v>
      </c>
      <c r="F3470" s="55"/>
      <c r="G3470" s="24">
        <v>12000</v>
      </c>
      <c r="H3470" s="24">
        <v>0</v>
      </c>
      <c r="I3470" s="24">
        <f t="shared" si="169"/>
        <v>12000</v>
      </c>
    </row>
    <row r="3471" spans="4:9" ht="12.75">
      <c r="D3471" s="5" t="s">
        <v>921</v>
      </c>
      <c r="E3471" s="55" t="s">
        <v>880</v>
      </c>
      <c r="F3471" s="55"/>
      <c r="G3471" s="24">
        <v>20000</v>
      </c>
      <c r="H3471" s="24">
        <v>0</v>
      </c>
      <c r="I3471" s="24">
        <f t="shared" si="169"/>
        <v>20000</v>
      </c>
    </row>
    <row r="3472" spans="4:9" ht="12.75">
      <c r="D3472" s="5" t="s">
        <v>919</v>
      </c>
      <c r="E3472" s="55" t="s">
        <v>200</v>
      </c>
      <c r="F3472" s="55"/>
      <c r="G3472" s="24">
        <v>73000</v>
      </c>
      <c r="H3472" s="24">
        <v>0</v>
      </c>
      <c r="I3472" s="24">
        <f t="shared" si="169"/>
        <v>73000</v>
      </c>
    </row>
    <row r="3473" spans="4:9" ht="12.75">
      <c r="D3473" s="5" t="s">
        <v>913</v>
      </c>
      <c r="E3473" s="55" t="s">
        <v>881</v>
      </c>
      <c r="F3473" s="55"/>
      <c r="G3473" s="24">
        <v>750000</v>
      </c>
      <c r="H3473" s="24">
        <v>125000</v>
      </c>
      <c r="I3473" s="24">
        <f t="shared" si="169"/>
        <v>875000</v>
      </c>
    </row>
    <row r="3474" spans="4:9" ht="12.75">
      <c r="D3474" s="5" t="s">
        <v>915</v>
      </c>
      <c r="E3474" s="55" t="s">
        <v>879</v>
      </c>
      <c r="F3474" s="55"/>
      <c r="G3474" s="24">
        <v>28000</v>
      </c>
      <c r="H3474" s="24">
        <v>25000</v>
      </c>
      <c r="I3474" s="24">
        <f t="shared" si="169"/>
        <v>53000</v>
      </c>
    </row>
    <row r="3475" spans="4:9" ht="12.75">
      <c r="D3475" s="5" t="s">
        <v>916</v>
      </c>
      <c r="E3475" s="55" t="s">
        <v>882</v>
      </c>
      <c r="F3475" s="55"/>
      <c r="G3475" s="24">
        <v>126000</v>
      </c>
      <c r="H3475" s="24">
        <v>55000</v>
      </c>
      <c r="I3475" s="24">
        <f t="shared" si="169"/>
        <v>181000</v>
      </c>
    </row>
    <row r="3476" spans="4:9" ht="12.75">
      <c r="D3476" s="5" t="s">
        <v>924</v>
      </c>
      <c r="E3476" s="55" t="s">
        <v>203</v>
      </c>
      <c r="F3476" s="55"/>
      <c r="G3476" s="24">
        <v>60000</v>
      </c>
      <c r="H3476" s="24">
        <v>25000</v>
      </c>
      <c r="I3476" s="24">
        <f t="shared" si="169"/>
        <v>85000</v>
      </c>
    </row>
    <row r="3477" spans="4:9" ht="12.75">
      <c r="D3477" s="5" t="s">
        <v>925</v>
      </c>
      <c r="E3477" s="55" t="s">
        <v>884</v>
      </c>
      <c r="F3477" s="55"/>
      <c r="G3477" s="24">
        <v>355000</v>
      </c>
      <c r="H3477" s="24">
        <v>78000</v>
      </c>
      <c r="I3477" s="24">
        <f t="shared" si="169"/>
        <v>433000</v>
      </c>
    </row>
    <row r="3478" spans="4:9" ht="12.75">
      <c r="D3478" s="5" t="s">
        <v>930</v>
      </c>
      <c r="E3478" s="55" t="s">
        <v>209</v>
      </c>
      <c r="F3478" s="55"/>
      <c r="G3478" s="24">
        <v>0</v>
      </c>
      <c r="H3478" s="24">
        <v>12000</v>
      </c>
      <c r="I3478" s="24">
        <f t="shared" si="169"/>
        <v>12000</v>
      </c>
    </row>
    <row r="3479" spans="4:9" ht="12.75">
      <c r="D3479" s="5" t="s">
        <v>754</v>
      </c>
      <c r="E3479" s="55" t="s">
        <v>212</v>
      </c>
      <c r="F3479" s="55"/>
      <c r="G3479" s="24">
        <v>0</v>
      </c>
      <c r="H3479" s="24">
        <v>2000</v>
      </c>
      <c r="I3479" s="24">
        <f t="shared" si="169"/>
        <v>2000</v>
      </c>
    </row>
    <row r="3480" spans="4:9" ht="13.5" thickBot="1">
      <c r="D3480" s="5" t="s">
        <v>927</v>
      </c>
      <c r="E3480" s="55" t="s">
        <v>886</v>
      </c>
      <c r="F3480" s="55"/>
      <c r="G3480" s="24">
        <v>10000</v>
      </c>
      <c r="H3480" s="24">
        <v>37000</v>
      </c>
      <c r="I3480" s="24">
        <f t="shared" si="169"/>
        <v>47000</v>
      </c>
    </row>
    <row r="3481" spans="5:9" ht="12.75">
      <c r="E3481" s="58" t="s">
        <v>346</v>
      </c>
      <c r="F3481" s="58"/>
      <c r="G3481" s="25"/>
      <c r="H3481" s="25"/>
      <c r="I3481" s="25"/>
    </row>
    <row r="3482" spans="4:9" ht="12.75">
      <c r="D3482" s="5" t="s">
        <v>772</v>
      </c>
      <c r="E3482" s="55" t="s">
        <v>773</v>
      </c>
      <c r="F3482" s="55"/>
      <c r="G3482" s="24">
        <v>4559000</v>
      </c>
      <c r="I3482" s="24">
        <f>G3482+H3482</f>
        <v>4559000</v>
      </c>
    </row>
    <row r="3483" spans="4:9" ht="12.75">
      <c r="D3483" s="5" t="s">
        <v>784</v>
      </c>
      <c r="E3483" s="55" t="s">
        <v>785</v>
      </c>
      <c r="F3483" s="55"/>
      <c r="H3483" s="24">
        <v>347000</v>
      </c>
      <c r="I3483" s="24">
        <f>G3483+H3483</f>
        <v>347000</v>
      </c>
    </row>
    <row r="3484" spans="4:9" ht="13.5" thickBot="1">
      <c r="D3484" s="5" t="s">
        <v>786</v>
      </c>
      <c r="E3484" s="55" t="s">
        <v>787</v>
      </c>
      <c r="F3484" s="55"/>
      <c r="H3484" s="24">
        <v>12000</v>
      </c>
      <c r="I3484" s="24">
        <f>G3484+H3484</f>
        <v>12000</v>
      </c>
    </row>
    <row r="3485" spans="5:9" ht="13.5" thickBot="1">
      <c r="E3485" s="56" t="s">
        <v>347</v>
      </c>
      <c r="F3485" s="56"/>
      <c r="G3485" s="26">
        <f>SUM(G3482:G3484)</f>
        <v>4559000</v>
      </c>
      <c r="H3485" s="26">
        <f>SUM(H3482:H3484)</f>
        <v>359000</v>
      </c>
      <c r="I3485" s="26">
        <f>G3485+H3485</f>
        <v>4918000</v>
      </c>
    </row>
    <row r="3486" spans="5:9" ht="12.75">
      <c r="E3486" s="58" t="s">
        <v>157</v>
      </c>
      <c r="F3486" s="58"/>
      <c r="G3486" s="25"/>
      <c r="H3486" s="25"/>
      <c r="I3486" s="25"/>
    </row>
    <row r="3487" spans="4:9" ht="12.75">
      <c r="D3487" s="5" t="s">
        <v>772</v>
      </c>
      <c r="E3487" s="55" t="s">
        <v>773</v>
      </c>
      <c r="F3487" s="55"/>
      <c r="G3487" s="24">
        <v>4559000</v>
      </c>
      <c r="H3487" s="24">
        <v>0</v>
      </c>
      <c r="I3487" s="24">
        <f>G3487+H3487</f>
        <v>4559000</v>
      </c>
    </row>
    <row r="3488" spans="4:9" ht="12.75">
      <c r="D3488" s="5" t="s">
        <v>784</v>
      </c>
      <c r="E3488" s="55" t="s">
        <v>785</v>
      </c>
      <c r="F3488" s="55"/>
      <c r="G3488" s="24">
        <v>0</v>
      </c>
      <c r="H3488" s="24">
        <v>347000</v>
      </c>
      <c r="I3488" s="24">
        <f>G3488+H3488</f>
        <v>347000</v>
      </c>
    </row>
    <row r="3489" spans="4:9" ht="13.5" thickBot="1">
      <c r="D3489" s="5" t="s">
        <v>786</v>
      </c>
      <c r="E3489" s="55" t="s">
        <v>787</v>
      </c>
      <c r="F3489" s="55"/>
      <c r="G3489" s="24">
        <v>0</v>
      </c>
      <c r="H3489" s="24">
        <v>12000</v>
      </c>
      <c r="I3489" s="24">
        <f>G3489+H3489</f>
        <v>12000</v>
      </c>
    </row>
    <row r="3490" spans="5:9" ht="13.5" thickBot="1">
      <c r="E3490" s="56" t="s">
        <v>158</v>
      </c>
      <c r="F3490" s="56"/>
      <c r="G3490" s="26">
        <f>SUM(G3487:G3489)</f>
        <v>4559000</v>
      </c>
      <c r="H3490" s="26">
        <f>SUM(H3487:H3489)</f>
        <v>359000</v>
      </c>
      <c r="I3490" s="26">
        <f>G3490+H3490</f>
        <v>4918000</v>
      </c>
    </row>
    <row r="3491" ht="8.25" customHeight="1"/>
    <row r="3492" spans="1:6" ht="12.75">
      <c r="A3492" s="8" t="s">
        <v>766</v>
      </c>
      <c r="B3492" s="9" t="s">
        <v>509</v>
      </c>
      <c r="C3492" s="8"/>
      <c r="D3492" s="9"/>
      <c r="E3492" s="57" t="s">
        <v>318</v>
      </c>
      <c r="F3492" s="57"/>
    </row>
    <row r="3493" spans="1:6" ht="12.75">
      <c r="A3493" s="8"/>
      <c r="B3493" s="9"/>
      <c r="C3493" s="8" t="s">
        <v>770</v>
      </c>
      <c r="D3493" s="9"/>
      <c r="E3493" s="57" t="s">
        <v>771</v>
      </c>
      <c r="F3493" s="57"/>
    </row>
    <row r="3494" spans="4:9" ht="12.75">
      <c r="D3494" s="5" t="s">
        <v>911</v>
      </c>
      <c r="E3494" s="55" t="s">
        <v>199</v>
      </c>
      <c r="F3494" s="55"/>
      <c r="G3494" s="24">
        <v>2326000</v>
      </c>
      <c r="H3494" s="24">
        <v>0</v>
      </c>
      <c r="I3494" s="24">
        <f aca="true" t="shared" si="170" ref="I3494:I3504">G3494+H3494</f>
        <v>2326000</v>
      </c>
    </row>
    <row r="3495" spans="4:9" ht="12.75">
      <c r="D3495" s="5" t="s">
        <v>912</v>
      </c>
      <c r="E3495" s="55" t="s">
        <v>877</v>
      </c>
      <c r="F3495" s="55"/>
      <c r="G3495" s="24">
        <v>417000</v>
      </c>
      <c r="H3495" s="24">
        <v>0</v>
      </c>
      <c r="I3495" s="24">
        <f t="shared" si="170"/>
        <v>417000</v>
      </c>
    </row>
    <row r="3496" spans="4:9" ht="12.75">
      <c r="D3496" s="5" t="s">
        <v>918</v>
      </c>
      <c r="E3496" s="55" t="s">
        <v>878</v>
      </c>
      <c r="F3496" s="55"/>
      <c r="G3496" s="24">
        <v>20000</v>
      </c>
      <c r="H3496" s="24">
        <v>0</v>
      </c>
      <c r="I3496" s="24">
        <f t="shared" si="170"/>
        <v>20000</v>
      </c>
    </row>
    <row r="3497" spans="4:9" ht="12.75">
      <c r="D3497" s="5" t="s">
        <v>921</v>
      </c>
      <c r="E3497" s="55" t="s">
        <v>880</v>
      </c>
      <c r="F3497" s="55"/>
      <c r="G3497" s="24">
        <v>10000</v>
      </c>
      <c r="H3497" s="24">
        <v>0</v>
      </c>
      <c r="I3497" s="24">
        <f t="shared" si="170"/>
        <v>10000</v>
      </c>
    </row>
    <row r="3498" spans="4:9" ht="12.75">
      <c r="D3498" s="5" t="s">
        <v>919</v>
      </c>
      <c r="E3498" s="55" t="s">
        <v>200</v>
      </c>
      <c r="F3498" s="55"/>
      <c r="G3498" s="24">
        <v>72000</v>
      </c>
      <c r="H3498" s="24">
        <v>0</v>
      </c>
      <c r="I3498" s="24">
        <f t="shared" si="170"/>
        <v>72000</v>
      </c>
    </row>
    <row r="3499" spans="4:9" ht="12.75">
      <c r="D3499" s="5" t="s">
        <v>913</v>
      </c>
      <c r="E3499" s="55" t="s">
        <v>881</v>
      </c>
      <c r="F3499" s="55"/>
      <c r="G3499" s="24">
        <v>500000</v>
      </c>
      <c r="H3499" s="24">
        <v>12000</v>
      </c>
      <c r="I3499" s="24">
        <f t="shared" si="170"/>
        <v>512000</v>
      </c>
    </row>
    <row r="3500" spans="4:9" ht="12.75">
      <c r="D3500" s="5" t="s">
        <v>915</v>
      </c>
      <c r="E3500" s="55" t="s">
        <v>879</v>
      </c>
      <c r="F3500" s="55"/>
      <c r="G3500" s="24">
        <v>30000</v>
      </c>
      <c r="H3500" s="24">
        <v>71000</v>
      </c>
      <c r="I3500" s="24">
        <f t="shared" si="170"/>
        <v>101000</v>
      </c>
    </row>
    <row r="3501" spans="4:9" ht="12.75">
      <c r="D3501" s="5" t="s">
        <v>916</v>
      </c>
      <c r="E3501" s="55" t="s">
        <v>882</v>
      </c>
      <c r="F3501" s="55"/>
      <c r="G3501" s="24">
        <v>119000</v>
      </c>
      <c r="H3501" s="24">
        <v>53500</v>
      </c>
      <c r="I3501" s="24">
        <f t="shared" si="170"/>
        <v>172500</v>
      </c>
    </row>
    <row r="3502" spans="4:9" ht="12.75">
      <c r="D3502" s="5" t="s">
        <v>924</v>
      </c>
      <c r="E3502" s="55" t="s">
        <v>203</v>
      </c>
      <c r="F3502" s="55"/>
      <c r="G3502" s="24">
        <v>109000</v>
      </c>
      <c r="H3502" s="24">
        <v>415000</v>
      </c>
      <c r="I3502" s="24">
        <f t="shared" si="170"/>
        <v>524000</v>
      </c>
    </row>
    <row r="3503" spans="4:9" ht="12.75">
      <c r="D3503" s="5" t="s">
        <v>925</v>
      </c>
      <c r="E3503" s="55" t="s">
        <v>884</v>
      </c>
      <c r="F3503" s="55"/>
      <c r="G3503" s="24">
        <v>240000</v>
      </c>
      <c r="H3503" s="24">
        <v>22653.41</v>
      </c>
      <c r="I3503" s="24">
        <f t="shared" si="170"/>
        <v>262653.41</v>
      </c>
    </row>
    <row r="3504" spans="4:9" ht="13.5" thickBot="1">
      <c r="D3504" s="5" t="s">
        <v>927</v>
      </c>
      <c r="E3504" s="55" t="s">
        <v>886</v>
      </c>
      <c r="F3504" s="55"/>
      <c r="G3504" s="24">
        <v>966000</v>
      </c>
      <c r="H3504" s="24">
        <v>0</v>
      </c>
      <c r="I3504" s="24">
        <f t="shared" si="170"/>
        <v>966000</v>
      </c>
    </row>
    <row r="3505" spans="5:9" ht="12.75">
      <c r="E3505" s="58" t="s">
        <v>346</v>
      </c>
      <c r="F3505" s="58"/>
      <c r="G3505" s="25"/>
      <c r="H3505" s="25"/>
      <c r="I3505" s="25"/>
    </row>
    <row r="3506" spans="4:9" ht="12.75">
      <c r="D3506" s="5" t="s">
        <v>772</v>
      </c>
      <c r="E3506" s="55" t="s">
        <v>773</v>
      </c>
      <c r="F3506" s="55"/>
      <c r="G3506" s="24">
        <v>4809000</v>
      </c>
      <c r="I3506" s="24">
        <f>G3506+H3506</f>
        <v>4809000</v>
      </c>
    </row>
    <row r="3507" spans="4:9" ht="12.75">
      <c r="D3507" s="5" t="s">
        <v>784</v>
      </c>
      <c r="E3507" s="55" t="s">
        <v>785</v>
      </c>
      <c r="F3507" s="55"/>
      <c r="H3507" s="24">
        <v>551500</v>
      </c>
      <c r="I3507" s="24">
        <f>G3507+H3507</f>
        <v>551500</v>
      </c>
    </row>
    <row r="3508" spans="4:9" ht="13.5" thickBot="1">
      <c r="D3508" s="5" t="s">
        <v>825</v>
      </c>
      <c r="E3508" s="55" t="s">
        <v>905</v>
      </c>
      <c r="F3508" s="55"/>
      <c r="H3508" s="24">
        <v>22653.41</v>
      </c>
      <c r="I3508" s="24">
        <f>G3508+H3508</f>
        <v>22653.41</v>
      </c>
    </row>
    <row r="3509" spans="5:9" ht="13.5" thickBot="1">
      <c r="E3509" s="56" t="s">
        <v>347</v>
      </c>
      <c r="F3509" s="56"/>
      <c r="G3509" s="26">
        <f>SUM(G3506:G3508)</f>
        <v>4809000</v>
      </c>
      <c r="H3509" s="26">
        <f>SUM(H3506:H3508)</f>
        <v>574153.41</v>
      </c>
      <c r="I3509" s="26">
        <f>G3509+H3509</f>
        <v>5383153.41</v>
      </c>
    </row>
    <row r="3510" spans="5:9" ht="12.75">
      <c r="E3510" s="58" t="s">
        <v>159</v>
      </c>
      <c r="F3510" s="58"/>
      <c r="G3510" s="25"/>
      <c r="H3510" s="25"/>
      <c r="I3510" s="25"/>
    </row>
    <row r="3511" spans="4:9" ht="12.75">
      <c r="D3511" s="5" t="s">
        <v>772</v>
      </c>
      <c r="E3511" s="55" t="s">
        <v>773</v>
      </c>
      <c r="F3511" s="55"/>
      <c r="G3511" s="24">
        <v>4809000</v>
      </c>
      <c r="H3511" s="24">
        <v>0</v>
      </c>
      <c r="I3511" s="24">
        <f>G3511+H3511</f>
        <v>4809000</v>
      </c>
    </row>
    <row r="3512" spans="4:9" ht="12.75">
      <c r="D3512" s="5" t="s">
        <v>784</v>
      </c>
      <c r="E3512" s="55" t="s">
        <v>785</v>
      </c>
      <c r="F3512" s="55"/>
      <c r="G3512" s="24">
        <v>0</v>
      </c>
      <c r="H3512" s="24">
        <f>+H3507</f>
        <v>551500</v>
      </c>
      <c r="I3512" s="24">
        <f>G3512+H3512</f>
        <v>551500</v>
      </c>
    </row>
    <row r="3513" spans="4:9" ht="13.5" thickBot="1">
      <c r="D3513" s="5" t="s">
        <v>825</v>
      </c>
      <c r="E3513" s="55" t="s">
        <v>905</v>
      </c>
      <c r="F3513" s="55"/>
      <c r="G3513" s="24">
        <v>0</v>
      </c>
      <c r="H3513" s="24">
        <f>+H3508</f>
        <v>22653.41</v>
      </c>
      <c r="I3513" s="24">
        <f>G3513+H3513</f>
        <v>22653.41</v>
      </c>
    </row>
    <row r="3514" spans="5:9" ht="13.5" thickBot="1">
      <c r="E3514" s="56" t="s">
        <v>160</v>
      </c>
      <c r="F3514" s="56"/>
      <c r="G3514" s="26">
        <f>SUM(G3511:G3513)</f>
        <v>4809000</v>
      </c>
      <c r="H3514" s="26">
        <f>SUM(H3511:H3513)</f>
        <v>574153.41</v>
      </c>
      <c r="I3514" s="26">
        <f>G3514+H3514</f>
        <v>5383153.41</v>
      </c>
    </row>
    <row r="3515" ht="6.75" customHeight="1"/>
    <row r="3516" spans="1:6" ht="12.75">
      <c r="A3516" s="8" t="s">
        <v>766</v>
      </c>
      <c r="B3516" s="9" t="s">
        <v>508</v>
      </c>
      <c r="C3516" s="8"/>
      <c r="D3516" s="9"/>
      <c r="E3516" s="57" t="s">
        <v>319</v>
      </c>
      <c r="F3516" s="57"/>
    </row>
    <row r="3517" spans="1:6" ht="12.75">
      <c r="A3517" s="8"/>
      <c r="B3517" s="9"/>
      <c r="C3517" s="8" t="s">
        <v>770</v>
      </c>
      <c r="D3517" s="9"/>
      <c r="E3517" s="57" t="s">
        <v>771</v>
      </c>
      <c r="F3517" s="57"/>
    </row>
    <row r="3518" spans="4:9" ht="12.75">
      <c r="D3518" s="5" t="s">
        <v>911</v>
      </c>
      <c r="E3518" s="55" t="s">
        <v>199</v>
      </c>
      <c r="F3518" s="55"/>
      <c r="G3518" s="24">
        <v>4834000</v>
      </c>
      <c r="H3518" s="24">
        <v>0</v>
      </c>
      <c r="I3518" s="24">
        <f aca="true" t="shared" si="171" ref="I3518:I3530">G3518+H3518</f>
        <v>4834000</v>
      </c>
    </row>
    <row r="3519" spans="4:9" ht="12.75">
      <c r="D3519" s="5" t="s">
        <v>912</v>
      </c>
      <c r="E3519" s="55" t="s">
        <v>877</v>
      </c>
      <c r="F3519" s="55"/>
      <c r="G3519" s="24">
        <v>865000</v>
      </c>
      <c r="H3519" s="24">
        <v>0</v>
      </c>
      <c r="I3519" s="24">
        <f t="shared" si="171"/>
        <v>865000</v>
      </c>
    </row>
    <row r="3520" spans="4:9" ht="12.75">
      <c r="D3520" s="5" t="s">
        <v>921</v>
      </c>
      <c r="E3520" s="55" t="s">
        <v>880</v>
      </c>
      <c r="F3520" s="55"/>
      <c r="G3520" s="24">
        <v>40000</v>
      </c>
      <c r="H3520" s="24">
        <v>12000</v>
      </c>
      <c r="I3520" s="24">
        <f t="shared" si="171"/>
        <v>52000</v>
      </c>
    </row>
    <row r="3521" spans="4:9" ht="12.75">
      <c r="D3521" s="5" t="s">
        <v>919</v>
      </c>
      <c r="E3521" s="55" t="s">
        <v>200</v>
      </c>
      <c r="F3521" s="55"/>
      <c r="G3521" s="24">
        <v>250000</v>
      </c>
      <c r="H3521" s="24">
        <v>0</v>
      </c>
      <c r="I3521" s="24">
        <f t="shared" si="171"/>
        <v>250000</v>
      </c>
    </row>
    <row r="3522" spans="4:9" ht="12.75">
      <c r="D3522" s="5" t="s">
        <v>913</v>
      </c>
      <c r="E3522" s="55" t="s">
        <v>881</v>
      </c>
      <c r="F3522" s="55"/>
      <c r="G3522" s="24">
        <v>838000</v>
      </c>
      <c r="H3522" s="24">
        <v>11000</v>
      </c>
      <c r="I3522" s="24">
        <f t="shared" si="171"/>
        <v>849000</v>
      </c>
    </row>
    <row r="3523" spans="4:9" ht="12.75">
      <c r="D3523" s="5" t="s">
        <v>915</v>
      </c>
      <c r="E3523" s="55" t="s">
        <v>879</v>
      </c>
      <c r="F3523" s="55"/>
      <c r="G3523" s="24">
        <v>85000</v>
      </c>
      <c r="H3523" s="24">
        <v>120000</v>
      </c>
      <c r="I3523" s="24">
        <f t="shared" si="171"/>
        <v>205000</v>
      </c>
    </row>
    <row r="3524" spans="4:9" ht="12.75">
      <c r="D3524" s="5" t="s">
        <v>916</v>
      </c>
      <c r="E3524" s="55" t="s">
        <v>882</v>
      </c>
      <c r="F3524" s="55"/>
      <c r="G3524" s="24">
        <v>120000</v>
      </c>
      <c r="H3524" s="24">
        <v>332222.13</v>
      </c>
      <c r="I3524" s="24">
        <f t="shared" si="171"/>
        <v>452222.13</v>
      </c>
    </row>
    <row r="3525" spans="4:9" ht="12.75">
      <c r="D3525" s="5" t="s">
        <v>924</v>
      </c>
      <c r="E3525" s="55" t="s">
        <v>203</v>
      </c>
      <c r="F3525" s="55"/>
      <c r="G3525" s="24">
        <v>142000</v>
      </c>
      <c r="H3525" s="24">
        <v>241130</v>
      </c>
      <c r="I3525" s="24">
        <f t="shared" si="171"/>
        <v>383130</v>
      </c>
    </row>
    <row r="3526" spans="4:9" ht="12.75">
      <c r="D3526" s="5" t="s">
        <v>925</v>
      </c>
      <c r="E3526" s="55" t="s">
        <v>884</v>
      </c>
      <c r="F3526" s="55"/>
      <c r="G3526" s="24">
        <v>484000</v>
      </c>
      <c r="H3526" s="24">
        <v>205000</v>
      </c>
      <c r="I3526" s="24">
        <f t="shared" si="171"/>
        <v>689000</v>
      </c>
    </row>
    <row r="3527" spans="4:9" ht="12.75">
      <c r="D3527" s="5" t="s">
        <v>746</v>
      </c>
      <c r="E3527" s="55" t="s">
        <v>206</v>
      </c>
      <c r="F3527" s="55"/>
      <c r="G3527" s="24">
        <v>0</v>
      </c>
      <c r="H3527" s="24">
        <v>33000</v>
      </c>
      <c r="I3527" s="24">
        <f t="shared" si="171"/>
        <v>33000</v>
      </c>
    </row>
    <row r="3528" spans="4:9" ht="12.75">
      <c r="D3528" s="5" t="s">
        <v>928</v>
      </c>
      <c r="E3528" s="55" t="s">
        <v>890</v>
      </c>
      <c r="F3528" s="55"/>
      <c r="G3528" s="24">
        <v>0</v>
      </c>
      <c r="H3528" s="24">
        <v>12000</v>
      </c>
      <c r="I3528" s="24">
        <f t="shared" si="171"/>
        <v>12000</v>
      </c>
    </row>
    <row r="3529" spans="4:9" ht="12.75">
      <c r="D3529" s="5" t="s">
        <v>754</v>
      </c>
      <c r="E3529" s="55" t="s">
        <v>212</v>
      </c>
      <c r="F3529" s="55"/>
      <c r="G3529" s="24">
        <v>30000</v>
      </c>
      <c r="H3529" s="24">
        <v>0</v>
      </c>
      <c r="I3529" s="24">
        <f t="shared" si="171"/>
        <v>30000</v>
      </c>
    </row>
    <row r="3530" spans="4:9" ht="13.5" thickBot="1">
      <c r="D3530" s="5" t="s">
        <v>927</v>
      </c>
      <c r="E3530" s="55" t="s">
        <v>886</v>
      </c>
      <c r="F3530" s="55"/>
      <c r="G3530" s="24">
        <v>92000</v>
      </c>
      <c r="H3530" s="24">
        <v>0</v>
      </c>
      <c r="I3530" s="24">
        <f t="shared" si="171"/>
        <v>92000</v>
      </c>
    </row>
    <row r="3531" spans="5:9" ht="12.75">
      <c r="E3531" s="58" t="s">
        <v>346</v>
      </c>
      <c r="F3531" s="58"/>
      <c r="G3531" s="25"/>
      <c r="H3531" s="25"/>
      <c r="I3531" s="25"/>
    </row>
    <row r="3532" spans="4:9" ht="12.75">
      <c r="D3532" s="5" t="s">
        <v>772</v>
      </c>
      <c r="E3532" s="55" t="s">
        <v>773</v>
      </c>
      <c r="F3532" s="55"/>
      <c r="G3532" s="24">
        <v>7780000</v>
      </c>
      <c r="I3532" s="24">
        <f>G3532+H3532</f>
        <v>7780000</v>
      </c>
    </row>
    <row r="3533" spans="4:9" ht="12.75">
      <c r="D3533" s="5" t="s">
        <v>784</v>
      </c>
      <c r="E3533" s="55" t="s">
        <v>785</v>
      </c>
      <c r="F3533" s="55"/>
      <c r="H3533" s="24">
        <v>938130</v>
      </c>
      <c r="I3533" s="24">
        <f>G3533+H3533</f>
        <v>938130</v>
      </c>
    </row>
    <row r="3534" spans="4:9" ht="13.5" thickBot="1">
      <c r="D3534" s="5" t="s">
        <v>825</v>
      </c>
      <c r="E3534" s="55" t="s">
        <v>905</v>
      </c>
      <c r="F3534" s="55"/>
      <c r="H3534" s="24">
        <v>28222.13</v>
      </c>
      <c r="I3534" s="24">
        <f>G3534+H3534</f>
        <v>28222.13</v>
      </c>
    </row>
    <row r="3535" spans="5:9" ht="13.5" thickBot="1">
      <c r="E3535" s="56" t="s">
        <v>347</v>
      </c>
      <c r="F3535" s="56"/>
      <c r="G3535" s="26">
        <f>SUM(G3532:G3534)</f>
        <v>7780000</v>
      </c>
      <c r="H3535" s="26">
        <f>SUM(H3532:H3534)</f>
        <v>966352.13</v>
      </c>
      <c r="I3535" s="26">
        <f>G3535+H3535</f>
        <v>8746352.13</v>
      </c>
    </row>
    <row r="3536" spans="5:9" ht="12.75">
      <c r="E3536" s="58" t="s">
        <v>581</v>
      </c>
      <c r="F3536" s="58"/>
      <c r="G3536" s="25"/>
      <c r="H3536" s="25"/>
      <c r="I3536" s="25"/>
    </row>
    <row r="3537" spans="4:9" ht="12.75">
      <c r="D3537" s="5" t="s">
        <v>772</v>
      </c>
      <c r="E3537" s="55" t="s">
        <v>773</v>
      </c>
      <c r="F3537" s="55"/>
      <c r="G3537" s="24">
        <v>7780000</v>
      </c>
      <c r="H3537" s="24">
        <v>0</v>
      </c>
      <c r="I3537" s="24">
        <f>G3537+H3537</f>
        <v>7780000</v>
      </c>
    </row>
    <row r="3538" spans="4:9" ht="12.75">
      <c r="D3538" s="5" t="s">
        <v>784</v>
      </c>
      <c r="E3538" s="55" t="s">
        <v>785</v>
      </c>
      <c r="F3538" s="55"/>
      <c r="G3538" s="24">
        <v>0</v>
      </c>
      <c r="H3538" s="24">
        <f>+H3533</f>
        <v>938130</v>
      </c>
      <c r="I3538" s="24">
        <f>G3538+H3538</f>
        <v>938130</v>
      </c>
    </row>
    <row r="3539" spans="4:9" ht="13.5" thickBot="1">
      <c r="D3539" s="5" t="s">
        <v>825</v>
      </c>
      <c r="E3539" s="55" t="s">
        <v>905</v>
      </c>
      <c r="F3539" s="55"/>
      <c r="G3539" s="24">
        <v>0</v>
      </c>
      <c r="H3539" s="24">
        <v>28222.13</v>
      </c>
      <c r="I3539" s="24">
        <f>G3539+H3539</f>
        <v>28222.13</v>
      </c>
    </row>
    <row r="3540" spans="5:9" ht="13.5" thickBot="1">
      <c r="E3540" s="56" t="s">
        <v>582</v>
      </c>
      <c r="F3540" s="56"/>
      <c r="G3540" s="26">
        <f>SUM(G3537:G3539)</f>
        <v>7780000</v>
      </c>
      <c r="H3540" s="26">
        <f>SUM(H3537:H3539)</f>
        <v>966352.13</v>
      </c>
      <c r="I3540" s="26">
        <f>G3540+H3540</f>
        <v>8746352.13</v>
      </c>
    </row>
    <row r="3541" ht="7.5" customHeight="1"/>
    <row r="3542" spans="1:6" ht="12.75">
      <c r="A3542" s="8" t="s">
        <v>766</v>
      </c>
      <c r="B3542" s="9" t="s">
        <v>507</v>
      </c>
      <c r="C3542" s="8"/>
      <c r="D3542" s="9"/>
      <c r="E3542" s="57" t="s">
        <v>320</v>
      </c>
      <c r="F3542" s="57"/>
    </row>
    <row r="3543" spans="1:6" ht="12.75">
      <c r="A3543" s="8"/>
      <c r="B3543" s="9"/>
      <c r="C3543" s="8" t="s">
        <v>770</v>
      </c>
      <c r="D3543" s="9"/>
      <c r="E3543" s="57" t="s">
        <v>771</v>
      </c>
      <c r="F3543" s="57"/>
    </row>
    <row r="3544" spans="4:9" ht="12.75">
      <c r="D3544" s="5" t="s">
        <v>911</v>
      </c>
      <c r="E3544" s="55" t="s">
        <v>199</v>
      </c>
      <c r="F3544" s="55"/>
      <c r="G3544" s="24">
        <v>2612000</v>
      </c>
      <c r="H3544" s="24">
        <v>0</v>
      </c>
      <c r="I3544" s="24">
        <f aca="true" t="shared" si="172" ref="I3544:I3556">G3544+H3544</f>
        <v>2612000</v>
      </c>
    </row>
    <row r="3545" spans="4:9" ht="12.75">
      <c r="D3545" s="5" t="s">
        <v>912</v>
      </c>
      <c r="E3545" s="55" t="s">
        <v>877</v>
      </c>
      <c r="F3545" s="55"/>
      <c r="G3545" s="24">
        <v>467000</v>
      </c>
      <c r="H3545" s="24">
        <v>0</v>
      </c>
      <c r="I3545" s="24">
        <f t="shared" si="172"/>
        <v>467000</v>
      </c>
    </row>
    <row r="3546" spans="4:9" ht="12.75">
      <c r="D3546" s="5" t="s">
        <v>918</v>
      </c>
      <c r="E3546" s="55" t="s">
        <v>878</v>
      </c>
      <c r="F3546" s="55"/>
      <c r="G3546" s="24">
        <v>42000</v>
      </c>
      <c r="H3546" s="24">
        <v>12000</v>
      </c>
      <c r="I3546" s="24">
        <f t="shared" si="172"/>
        <v>54000</v>
      </c>
    </row>
    <row r="3547" spans="4:9" ht="12.75">
      <c r="D3547" s="5" t="s">
        <v>921</v>
      </c>
      <c r="E3547" s="55" t="s">
        <v>880</v>
      </c>
      <c r="F3547" s="55"/>
      <c r="G3547" s="24">
        <v>10000</v>
      </c>
      <c r="H3547" s="24">
        <v>0</v>
      </c>
      <c r="I3547" s="24">
        <f t="shared" si="172"/>
        <v>10000</v>
      </c>
    </row>
    <row r="3548" spans="4:9" ht="12.75">
      <c r="D3548" s="5" t="s">
        <v>919</v>
      </c>
      <c r="E3548" s="55" t="s">
        <v>200</v>
      </c>
      <c r="F3548" s="55"/>
      <c r="G3548" s="24">
        <v>10000</v>
      </c>
      <c r="H3548" s="24">
        <v>0</v>
      </c>
      <c r="I3548" s="24">
        <f t="shared" si="172"/>
        <v>10000</v>
      </c>
    </row>
    <row r="3549" spans="4:9" ht="12.75">
      <c r="D3549" s="5" t="s">
        <v>922</v>
      </c>
      <c r="E3549" s="55" t="s">
        <v>201</v>
      </c>
      <c r="F3549" s="55"/>
      <c r="G3549" s="24">
        <v>0</v>
      </c>
      <c r="H3549" s="24">
        <v>12000</v>
      </c>
      <c r="I3549" s="24">
        <f t="shared" si="172"/>
        <v>12000</v>
      </c>
    </row>
    <row r="3550" spans="4:9" ht="12.75">
      <c r="D3550" s="5" t="s">
        <v>913</v>
      </c>
      <c r="E3550" s="55" t="s">
        <v>881</v>
      </c>
      <c r="F3550" s="55"/>
      <c r="G3550" s="24">
        <v>400000</v>
      </c>
      <c r="H3550" s="24">
        <v>50000</v>
      </c>
      <c r="I3550" s="24">
        <f t="shared" si="172"/>
        <v>450000</v>
      </c>
    </row>
    <row r="3551" spans="4:9" ht="12.75">
      <c r="D3551" s="5" t="s">
        <v>915</v>
      </c>
      <c r="E3551" s="55" t="s">
        <v>879</v>
      </c>
      <c r="F3551" s="55"/>
      <c r="G3551" s="24">
        <v>70000</v>
      </c>
      <c r="H3551" s="24">
        <v>182000</v>
      </c>
      <c r="I3551" s="24">
        <f t="shared" si="172"/>
        <v>252000</v>
      </c>
    </row>
    <row r="3552" spans="4:9" ht="12.75">
      <c r="D3552" s="5" t="s">
        <v>916</v>
      </c>
      <c r="E3552" s="55" t="s">
        <v>882</v>
      </c>
      <c r="F3552" s="55"/>
      <c r="G3552" s="24">
        <v>245000</v>
      </c>
      <c r="H3552" s="24">
        <v>157925.92</v>
      </c>
      <c r="I3552" s="24">
        <f t="shared" si="172"/>
        <v>402925.92000000004</v>
      </c>
    </row>
    <row r="3553" spans="4:9" ht="12.75">
      <c r="D3553" s="5" t="s">
        <v>923</v>
      </c>
      <c r="E3553" s="55" t="s">
        <v>883</v>
      </c>
      <c r="F3553" s="55"/>
      <c r="G3553" s="24">
        <v>0</v>
      </c>
      <c r="H3553" s="24">
        <v>12000</v>
      </c>
      <c r="I3553" s="24">
        <f t="shared" si="172"/>
        <v>12000</v>
      </c>
    </row>
    <row r="3554" spans="4:9" ht="12.75">
      <c r="D3554" s="5" t="s">
        <v>924</v>
      </c>
      <c r="E3554" s="55" t="s">
        <v>203</v>
      </c>
      <c r="F3554" s="55"/>
      <c r="G3554" s="24">
        <v>62000</v>
      </c>
      <c r="H3554" s="24">
        <v>72500</v>
      </c>
      <c r="I3554" s="24">
        <f t="shared" si="172"/>
        <v>134500</v>
      </c>
    </row>
    <row r="3555" spans="4:9" ht="12.75">
      <c r="D3555" s="5" t="s">
        <v>925</v>
      </c>
      <c r="E3555" s="55" t="s">
        <v>884</v>
      </c>
      <c r="F3555" s="55"/>
      <c r="G3555" s="24">
        <v>300000</v>
      </c>
      <c r="H3555" s="24">
        <v>162925.91</v>
      </c>
      <c r="I3555" s="24">
        <f t="shared" si="172"/>
        <v>462925.91000000003</v>
      </c>
    </row>
    <row r="3556" spans="4:9" ht="13.5" thickBot="1">
      <c r="D3556" s="5" t="s">
        <v>927</v>
      </c>
      <c r="E3556" s="55" t="s">
        <v>886</v>
      </c>
      <c r="F3556" s="55"/>
      <c r="G3556" s="24">
        <v>33000</v>
      </c>
      <c r="H3556" s="24">
        <v>25000</v>
      </c>
      <c r="I3556" s="24">
        <f t="shared" si="172"/>
        <v>58000</v>
      </c>
    </row>
    <row r="3557" spans="5:9" ht="12.75">
      <c r="E3557" s="58" t="s">
        <v>346</v>
      </c>
      <c r="F3557" s="58"/>
      <c r="G3557" s="25"/>
      <c r="H3557" s="25"/>
      <c r="I3557" s="25"/>
    </row>
    <row r="3558" spans="4:9" ht="12.75">
      <c r="D3558" s="5" t="s">
        <v>772</v>
      </c>
      <c r="E3558" s="55" t="s">
        <v>773</v>
      </c>
      <c r="F3558" s="55"/>
      <c r="G3558" s="24">
        <v>4251000</v>
      </c>
      <c r="I3558" s="24">
        <f>G3558+H3558</f>
        <v>4251000</v>
      </c>
    </row>
    <row r="3559" spans="4:9" ht="12.75">
      <c r="D3559" s="5" t="s">
        <v>784</v>
      </c>
      <c r="E3559" s="55" t="s">
        <v>785</v>
      </c>
      <c r="F3559" s="55"/>
      <c r="H3559" s="24">
        <v>511500</v>
      </c>
      <c r="I3559" s="24">
        <f>G3559+H3559</f>
        <v>511500</v>
      </c>
    </row>
    <row r="3560" spans="4:9" ht="13.5" thickBot="1">
      <c r="D3560" s="5" t="s">
        <v>825</v>
      </c>
      <c r="E3560" s="55" t="s">
        <v>905</v>
      </c>
      <c r="F3560" s="55"/>
      <c r="H3560" s="24">
        <v>174851.83</v>
      </c>
      <c r="I3560" s="24">
        <f>G3560+H3560</f>
        <v>174851.83</v>
      </c>
    </row>
    <row r="3561" spans="5:9" ht="13.5" thickBot="1">
      <c r="E3561" s="56" t="s">
        <v>347</v>
      </c>
      <c r="F3561" s="56"/>
      <c r="G3561" s="26">
        <f>SUM(G3558:G3560)</f>
        <v>4251000</v>
      </c>
      <c r="H3561" s="26">
        <f>SUM(H3558:H3560)</f>
        <v>686351.83</v>
      </c>
      <c r="I3561" s="26">
        <f>G3561+H3561</f>
        <v>4937351.83</v>
      </c>
    </row>
    <row r="3562" spans="5:9" ht="12.75">
      <c r="E3562" s="58" t="s">
        <v>583</v>
      </c>
      <c r="F3562" s="58"/>
      <c r="G3562" s="25"/>
      <c r="H3562" s="25"/>
      <c r="I3562" s="25"/>
    </row>
    <row r="3563" spans="4:9" ht="12.75">
      <c r="D3563" s="5" t="s">
        <v>772</v>
      </c>
      <c r="E3563" s="55" t="s">
        <v>773</v>
      </c>
      <c r="F3563" s="55"/>
      <c r="G3563" s="24">
        <v>4251000</v>
      </c>
      <c r="H3563" s="24">
        <v>0</v>
      </c>
      <c r="I3563" s="24">
        <f>G3563+H3563</f>
        <v>4251000</v>
      </c>
    </row>
    <row r="3564" spans="4:9" ht="12.75">
      <c r="D3564" s="5" t="s">
        <v>784</v>
      </c>
      <c r="E3564" s="55" t="s">
        <v>785</v>
      </c>
      <c r="F3564" s="55"/>
      <c r="G3564" s="24">
        <v>0</v>
      </c>
      <c r="H3564" s="24">
        <f>+H3559</f>
        <v>511500</v>
      </c>
      <c r="I3564" s="24">
        <f>G3564+H3564</f>
        <v>511500</v>
      </c>
    </row>
    <row r="3565" spans="4:9" ht="13.5" thickBot="1">
      <c r="D3565" s="5" t="s">
        <v>825</v>
      </c>
      <c r="E3565" s="55" t="s">
        <v>905</v>
      </c>
      <c r="F3565" s="55"/>
      <c r="G3565" s="24">
        <v>0</v>
      </c>
      <c r="H3565" s="24">
        <f>+H3560</f>
        <v>174851.83</v>
      </c>
      <c r="I3565" s="24">
        <f>G3565+H3565</f>
        <v>174851.83</v>
      </c>
    </row>
    <row r="3566" spans="5:9" ht="13.5" thickBot="1">
      <c r="E3566" s="56" t="s">
        <v>584</v>
      </c>
      <c r="F3566" s="56"/>
      <c r="G3566" s="26">
        <f>SUM(G3563:G3565)</f>
        <v>4251000</v>
      </c>
      <c r="H3566" s="26">
        <f>SUM(H3563:H3565)</f>
        <v>686351.83</v>
      </c>
      <c r="I3566" s="26">
        <f>G3566+H3566</f>
        <v>4937351.83</v>
      </c>
    </row>
    <row r="3567" ht="8.25" customHeight="1"/>
    <row r="3568" spans="1:6" ht="12.75">
      <c r="A3568" s="8" t="s">
        <v>766</v>
      </c>
      <c r="B3568" s="9" t="s">
        <v>506</v>
      </c>
      <c r="C3568" s="8"/>
      <c r="D3568" s="9"/>
      <c r="E3568" s="57" t="s">
        <v>321</v>
      </c>
      <c r="F3568" s="57"/>
    </row>
    <row r="3569" spans="1:6" ht="12.75">
      <c r="A3569" s="8"/>
      <c r="B3569" s="9"/>
      <c r="C3569" s="8" t="s">
        <v>770</v>
      </c>
      <c r="D3569" s="9"/>
      <c r="E3569" s="57" t="s">
        <v>771</v>
      </c>
      <c r="F3569" s="57"/>
    </row>
    <row r="3570" spans="4:9" ht="12.75">
      <c r="D3570" s="5" t="s">
        <v>911</v>
      </c>
      <c r="E3570" s="55" t="s">
        <v>199</v>
      </c>
      <c r="F3570" s="55"/>
      <c r="G3570" s="24">
        <v>2931000</v>
      </c>
      <c r="H3570" s="24">
        <v>0</v>
      </c>
      <c r="I3570" s="24">
        <f aca="true" t="shared" si="173" ref="I3570:I3581">G3570+H3570</f>
        <v>2931000</v>
      </c>
    </row>
    <row r="3571" spans="4:9" ht="12.75">
      <c r="D3571" s="5" t="s">
        <v>912</v>
      </c>
      <c r="E3571" s="55" t="s">
        <v>877</v>
      </c>
      <c r="F3571" s="55"/>
      <c r="G3571" s="24">
        <v>525000</v>
      </c>
      <c r="H3571" s="24">
        <v>0</v>
      </c>
      <c r="I3571" s="24">
        <f t="shared" si="173"/>
        <v>525000</v>
      </c>
    </row>
    <row r="3572" spans="4:9" ht="12.75">
      <c r="D3572" s="5" t="s">
        <v>918</v>
      </c>
      <c r="E3572" s="55" t="s">
        <v>878</v>
      </c>
      <c r="F3572" s="55"/>
      <c r="G3572" s="24">
        <v>10000</v>
      </c>
      <c r="H3572" s="24">
        <v>0</v>
      </c>
      <c r="I3572" s="24">
        <f t="shared" si="173"/>
        <v>10000</v>
      </c>
    </row>
    <row r="3573" spans="4:9" ht="12.75">
      <c r="D3573" s="5" t="s">
        <v>921</v>
      </c>
      <c r="E3573" s="55" t="s">
        <v>880</v>
      </c>
      <c r="F3573" s="55"/>
      <c r="G3573" s="24">
        <v>10000</v>
      </c>
      <c r="H3573" s="24">
        <v>0</v>
      </c>
      <c r="I3573" s="24">
        <f t="shared" si="173"/>
        <v>10000</v>
      </c>
    </row>
    <row r="3574" spans="4:9" ht="12.75">
      <c r="D3574" s="5" t="s">
        <v>919</v>
      </c>
      <c r="E3574" s="55" t="s">
        <v>200</v>
      </c>
      <c r="F3574" s="55"/>
      <c r="G3574" s="24">
        <v>60350</v>
      </c>
      <c r="H3574" s="24">
        <v>0</v>
      </c>
      <c r="I3574" s="24">
        <f t="shared" si="173"/>
        <v>60350</v>
      </c>
    </row>
    <row r="3575" spans="4:9" ht="12.75">
      <c r="D3575" s="5" t="s">
        <v>913</v>
      </c>
      <c r="E3575" s="55" t="s">
        <v>881</v>
      </c>
      <c r="F3575" s="55"/>
      <c r="G3575" s="24">
        <v>600000</v>
      </c>
      <c r="H3575" s="24">
        <v>94000</v>
      </c>
      <c r="I3575" s="24">
        <f t="shared" si="173"/>
        <v>694000</v>
      </c>
    </row>
    <row r="3576" spans="4:9" ht="12.75">
      <c r="D3576" s="5" t="s">
        <v>915</v>
      </c>
      <c r="E3576" s="55" t="s">
        <v>879</v>
      </c>
      <c r="F3576" s="55"/>
      <c r="G3576" s="24">
        <v>30000</v>
      </c>
      <c r="H3576" s="24">
        <v>22000</v>
      </c>
      <c r="I3576" s="24">
        <f t="shared" si="173"/>
        <v>52000</v>
      </c>
    </row>
    <row r="3577" spans="4:9" ht="12.75">
      <c r="D3577" s="5" t="s">
        <v>916</v>
      </c>
      <c r="E3577" s="55" t="s">
        <v>882</v>
      </c>
      <c r="F3577" s="55"/>
      <c r="G3577" s="24">
        <v>223000</v>
      </c>
      <c r="H3577" s="24">
        <v>364326.29</v>
      </c>
      <c r="I3577" s="24">
        <f t="shared" si="173"/>
        <v>587326.29</v>
      </c>
    </row>
    <row r="3578" spans="4:9" ht="12.75">
      <c r="D3578" s="5" t="s">
        <v>924</v>
      </c>
      <c r="E3578" s="55" t="s">
        <v>203</v>
      </c>
      <c r="F3578" s="55"/>
      <c r="G3578" s="24">
        <v>192650</v>
      </c>
      <c r="H3578" s="24">
        <v>60000</v>
      </c>
      <c r="I3578" s="24">
        <f t="shared" si="173"/>
        <v>252650</v>
      </c>
    </row>
    <row r="3579" spans="4:9" ht="12.75">
      <c r="D3579" s="5" t="s">
        <v>925</v>
      </c>
      <c r="E3579" s="55" t="s">
        <v>884</v>
      </c>
      <c r="F3579" s="55"/>
      <c r="G3579" s="24">
        <v>305000</v>
      </c>
      <c r="H3579" s="24">
        <v>50000</v>
      </c>
      <c r="I3579" s="24">
        <f t="shared" si="173"/>
        <v>355000</v>
      </c>
    </row>
    <row r="3580" spans="4:9" ht="12.75">
      <c r="D3580" s="5" t="s">
        <v>754</v>
      </c>
      <c r="E3580" s="55" t="s">
        <v>212</v>
      </c>
      <c r="F3580" s="55"/>
      <c r="G3580" s="24">
        <v>0</v>
      </c>
      <c r="H3580" s="24">
        <v>8000</v>
      </c>
      <c r="I3580" s="24">
        <f t="shared" si="173"/>
        <v>8000</v>
      </c>
    </row>
    <row r="3581" spans="4:9" ht="13.5" thickBot="1">
      <c r="D3581" s="5" t="s">
        <v>927</v>
      </c>
      <c r="E3581" s="55" t="s">
        <v>886</v>
      </c>
      <c r="F3581" s="55"/>
      <c r="G3581" s="24">
        <v>10000</v>
      </c>
      <c r="H3581" s="24">
        <v>42000</v>
      </c>
      <c r="I3581" s="24">
        <f t="shared" si="173"/>
        <v>52000</v>
      </c>
    </row>
    <row r="3582" spans="5:9" ht="12.75">
      <c r="E3582" s="58" t="s">
        <v>346</v>
      </c>
      <c r="F3582" s="58"/>
      <c r="G3582" s="25"/>
      <c r="H3582" s="25"/>
      <c r="I3582" s="25"/>
    </row>
    <row r="3583" spans="4:9" ht="12.75">
      <c r="D3583" s="5" t="s">
        <v>772</v>
      </c>
      <c r="E3583" s="55" t="s">
        <v>773</v>
      </c>
      <c r="F3583" s="55"/>
      <c r="G3583" s="24">
        <v>4897000</v>
      </c>
      <c r="I3583" s="24">
        <f>G3583+H3583</f>
        <v>4897000</v>
      </c>
    </row>
    <row r="3584" spans="4:9" ht="12.75">
      <c r="D3584" s="5" t="s">
        <v>784</v>
      </c>
      <c r="E3584" s="55" t="s">
        <v>785</v>
      </c>
      <c r="F3584" s="55"/>
      <c r="H3584" s="24">
        <v>575000</v>
      </c>
      <c r="I3584" s="24">
        <f>G3584+H3584</f>
        <v>575000</v>
      </c>
    </row>
    <row r="3585" spans="4:9" ht="13.5" thickBot="1">
      <c r="D3585" s="5" t="s">
        <v>825</v>
      </c>
      <c r="E3585" s="55" t="s">
        <v>905</v>
      </c>
      <c r="F3585" s="55"/>
      <c r="H3585" s="24">
        <v>65326.29</v>
      </c>
      <c r="I3585" s="24">
        <f>G3585+H3585</f>
        <v>65326.29</v>
      </c>
    </row>
    <row r="3586" spans="5:9" ht="13.5" thickBot="1">
      <c r="E3586" s="56" t="s">
        <v>347</v>
      </c>
      <c r="F3586" s="56"/>
      <c r="G3586" s="26">
        <f>SUM(G3583:G3585)</f>
        <v>4897000</v>
      </c>
      <c r="H3586" s="26">
        <f>SUM(H3583:H3585)</f>
        <v>640326.29</v>
      </c>
      <c r="I3586" s="26">
        <f>G3586+H3586</f>
        <v>5537326.29</v>
      </c>
    </row>
    <row r="3587" spans="5:9" ht="12.75">
      <c r="E3587" s="58" t="s">
        <v>585</v>
      </c>
      <c r="F3587" s="58"/>
      <c r="G3587" s="25"/>
      <c r="H3587" s="25"/>
      <c r="I3587" s="25"/>
    </row>
    <row r="3588" spans="4:9" ht="12.75">
      <c r="D3588" s="5" t="s">
        <v>772</v>
      </c>
      <c r="E3588" s="55" t="s">
        <v>773</v>
      </c>
      <c r="F3588" s="55"/>
      <c r="G3588" s="24">
        <v>4897000</v>
      </c>
      <c r="H3588" s="24">
        <v>0</v>
      </c>
      <c r="I3588" s="24">
        <f>G3588+H3588</f>
        <v>4897000</v>
      </c>
    </row>
    <row r="3589" spans="4:9" ht="12.75">
      <c r="D3589" s="5" t="s">
        <v>784</v>
      </c>
      <c r="E3589" s="55" t="s">
        <v>785</v>
      </c>
      <c r="F3589" s="55"/>
      <c r="G3589" s="24">
        <v>0</v>
      </c>
      <c r="H3589" s="24">
        <v>575000</v>
      </c>
      <c r="I3589" s="24">
        <f>G3589+H3589</f>
        <v>575000</v>
      </c>
    </row>
    <row r="3590" spans="4:9" ht="13.5" thickBot="1">
      <c r="D3590" s="5" t="s">
        <v>825</v>
      </c>
      <c r="E3590" s="55" t="s">
        <v>905</v>
      </c>
      <c r="F3590" s="55"/>
      <c r="G3590" s="24">
        <v>0</v>
      </c>
      <c r="H3590" s="24">
        <v>65326.29</v>
      </c>
      <c r="I3590" s="24">
        <f>G3590+H3590</f>
        <v>65326.29</v>
      </c>
    </row>
    <row r="3591" spans="5:9" ht="13.5" thickBot="1">
      <c r="E3591" s="56" t="s">
        <v>586</v>
      </c>
      <c r="F3591" s="56"/>
      <c r="G3591" s="26">
        <f>SUM(G3588:G3590)</f>
        <v>4897000</v>
      </c>
      <c r="H3591" s="26">
        <f>SUM(H3588:H3590)</f>
        <v>640326.29</v>
      </c>
      <c r="I3591" s="26">
        <f>G3591+H3591</f>
        <v>5537326.29</v>
      </c>
    </row>
    <row r="3593" spans="1:6" ht="12.75">
      <c r="A3593" s="8" t="s">
        <v>766</v>
      </c>
      <c r="B3593" s="9" t="s">
        <v>161</v>
      </c>
      <c r="C3593" s="8"/>
      <c r="D3593" s="9"/>
      <c r="E3593" s="57" t="s">
        <v>322</v>
      </c>
      <c r="F3593" s="57"/>
    </row>
    <row r="3594" spans="1:6" ht="12.75">
      <c r="A3594" s="8"/>
      <c r="B3594" s="9"/>
      <c r="C3594" s="8" t="s">
        <v>770</v>
      </c>
      <c r="D3594" s="9"/>
      <c r="E3594" s="57" t="s">
        <v>771</v>
      </c>
      <c r="F3594" s="57"/>
    </row>
    <row r="3595" spans="4:9" ht="12.75">
      <c r="D3595" s="5" t="s">
        <v>911</v>
      </c>
      <c r="E3595" s="55" t="s">
        <v>199</v>
      </c>
      <c r="F3595" s="55"/>
      <c r="G3595" s="24">
        <v>2852000</v>
      </c>
      <c r="H3595" s="24">
        <v>0</v>
      </c>
      <c r="I3595" s="24">
        <f aca="true" t="shared" si="174" ref="I3595:I3606">G3595+H3595</f>
        <v>2852000</v>
      </c>
    </row>
    <row r="3596" spans="4:9" ht="12.75">
      <c r="D3596" s="5" t="s">
        <v>912</v>
      </c>
      <c r="E3596" s="55" t="s">
        <v>877</v>
      </c>
      <c r="F3596" s="55"/>
      <c r="G3596" s="24">
        <v>511000</v>
      </c>
      <c r="H3596" s="24">
        <v>0</v>
      </c>
      <c r="I3596" s="24">
        <f t="shared" si="174"/>
        <v>511000</v>
      </c>
    </row>
    <row r="3597" spans="4:9" ht="12.75">
      <c r="D3597" s="5" t="s">
        <v>918</v>
      </c>
      <c r="E3597" s="55" t="s">
        <v>878</v>
      </c>
      <c r="F3597" s="55"/>
      <c r="G3597" s="24">
        <v>10000</v>
      </c>
      <c r="H3597" s="24">
        <v>0</v>
      </c>
      <c r="I3597" s="24">
        <f t="shared" si="174"/>
        <v>10000</v>
      </c>
    </row>
    <row r="3598" spans="4:9" ht="12.75">
      <c r="D3598" s="5" t="s">
        <v>921</v>
      </c>
      <c r="E3598" s="55" t="s">
        <v>880</v>
      </c>
      <c r="F3598" s="55"/>
      <c r="G3598" s="24">
        <v>50000</v>
      </c>
      <c r="H3598" s="24">
        <v>0</v>
      </c>
      <c r="I3598" s="24">
        <f t="shared" si="174"/>
        <v>50000</v>
      </c>
    </row>
    <row r="3599" spans="4:9" ht="12.75">
      <c r="D3599" s="5" t="s">
        <v>919</v>
      </c>
      <c r="E3599" s="55" t="s">
        <v>200</v>
      </c>
      <c r="F3599" s="55"/>
      <c r="G3599" s="24">
        <v>67000</v>
      </c>
      <c r="H3599" s="24">
        <v>0</v>
      </c>
      <c r="I3599" s="24">
        <f t="shared" si="174"/>
        <v>67000</v>
      </c>
    </row>
    <row r="3600" spans="4:9" ht="12.75">
      <c r="D3600" s="5" t="s">
        <v>913</v>
      </c>
      <c r="E3600" s="55" t="s">
        <v>881</v>
      </c>
      <c r="F3600" s="55"/>
      <c r="G3600" s="24">
        <v>650000</v>
      </c>
      <c r="H3600" s="24">
        <v>25000</v>
      </c>
      <c r="I3600" s="24">
        <f t="shared" si="174"/>
        <v>675000</v>
      </c>
    </row>
    <row r="3601" spans="4:9" ht="12.75">
      <c r="D3601" s="5" t="s">
        <v>915</v>
      </c>
      <c r="E3601" s="55" t="s">
        <v>879</v>
      </c>
      <c r="F3601" s="55"/>
      <c r="G3601" s="24">
        <v>10000</v>
      </c>
      <c r="H3601" s="24">
        <v>0</v>
      </c>
      <c r="I3601" s="24">
        <f t="shared" si="174"/>
        <v>10000</v>
      </c>
    </row>
    <row r="3602" spans="4:9" ht="12.75">
      <c r="D3602" s="5" t="s">
        <v>916</v>
      </c>
      <c r="E3602" s="55" t="s">
        <v>882</v>
      </c>
      <c r="F3602" s="55"/>
      <c r="G3602" s="24">
        <v>120000</v>
      </c>
      <c r="H3602" s="24">
        <v>220000</v>
      </c>
      <c r="I3602" s="24">
        <f t="shared" si="174"/>
        <v>340000</v>
      </c>
    </row>
    <row r="3603" spans="4:9" ht="12.75">
      <c r="D3603" s="5" t="s">
        <v>924</v>
      </c>
      <c r="E3603" s="55" t="s">
        <v>203</v>
      </c>
      <c r="F3603" s="55"/>
      <c r="G3603" s="24">
        <v>25000</v>
      </c>
      <c r="H3603" s="24">
        <v>105344.47</v>
      </c>
      <c r="I3603" s="24">
        <f t="shared" si="174"/>
        <v>130344.47</v>
      </c>
    </row>
    <row r="3604" spans="4:9" ht="12.75">
      <c r="D3604" s="5" t="s">
        <v>925</v>
      </c>
      <c r="E3604" s="55" t="s">
        <v>884</v>
      </c>
      <c r="F3604" s="55"/>
      <c r="G3604" s="24">
        <v>86000</v>
      </c>
      <c r="H3604" s="24">
        <v>105000</v>
      </c>
      <c r="I3604" s="24">
        <f t="shared" si="174"/>
        <v>191000</v>
      </c>
    </row>
    <row r="3605" spans="4:9" ht="12.75">
      <c r="D3605" s="5" t="s">
        <v>754</v>
      </c>
      <c r="E3605" s="55" t="s">
        <v>212</v>
      </c>
      <c r="F3605" s="55"/>
      <c r="G3605" s="24">
        <v>10000</v>
      </c>
      <c r="H3605" s="24">
        <v>0</v>
      </c>
      <c r="I3605" s="24">
        <f t="shared" si="174"/>
        <v>10000</v>
      </c>
    </row>
    <row r="3606" spans="4:9" ht="13.5" thickBot="1">
      <c r="D3606" s="5" t="s">
        <v>927</v>
      </c>
      <c r="E3606" s="55" t="s">
        <v>886</v>
      </c>
      <c r="F3606" s="55"/>
      <c r="G3606" s="24">
        <v>23000</v>
      </c>
      <c r="H3606" s="24">
        <v>0</v>
      </c>
      <c r="I3606" s="24">
        <f t="shared" si="174"/>
        <v>23000</v>
      </c>
    </row>
    <row r="3607" spans="5:9" ht="12.75">
      <c r="E3607" s="58" t="s">
        <v>346</v>
      </c>
      <c r="F3607" s="58"/>
      <c r="G3607" s="25"/>
      <c r="H3607" s="25"/>
      <c r="I3607" s="25"/>
    </row>
    <row r="3608" spans="4:9" ht="12.75">
      <c r="D3608" s="5" t="s">
        <v>772</v>
      </c>
      <c r="E3608" s="55" t="s">
        <v>773</v>
      </c>
      <c r="F3608" s="55"/>
      <c r="G3608" s="24">
        <v>4414000</v>
      </c>
      <c r="I3608" s="24">
        <f>G3608+H3608</f>
        <v>4414000</v>
      </c>
    </row>
    <row r="3609" spans="4:9" ht="12.75">
      <c r="D3609" s="5" t="s">
        <v>784</v>
      </c>
      <c r="E3609" s="55" t="s">
        <v>785</v>
      </c>
      <c r="F3609" s="55"/>
      <c r="H3609" s="24">
        <v>235000</v>
      </c>
      <c r="I3609" s="24">
        <f>G3609+H3609</f>
        <v>235000</v>
      </c>
    </row>
    <row r="3610" spans="4:9" ht="13.5" thickBot="1">
      <c r="D3610" s="5" t="s">
        <v>825</v>
      </c>
      <c r="E3610" s="55" t="s">
        <v>905</v>
      </c>
      <c r="F3610" s="55"/>
      <c r="H3610" s="24">
        <v>220344.47</v>
      </c>
      <c r="I3610" s="24">
        <f>G3610+H3610</f>
        <v>220344.47</v>
      </c>
    </row>
    <row r="3611" spans="5:9" ht="13.5" thickBot="1">
      <c r="E3611" s="56" t="s">
        <v>347</v>
      </c>
      <c r="F3611" s="56"/>
      <c r="G3611" s="26">
        <f>SUM(G3608:G3610)</f>
        <v>4414000</v>
      </c>
      <c r="H3611" s="26">
        <f>SUM(H3608:H3610)</f>
        <v>455344.47</v>
      </c>
      <c r="I3611" s="26">
        <f>G3611+H3611</f>
        <v>4869344.47</v>
      </c>
    </row>
    <row r="3612" spans="5:9" ht="12.75">
      <c r="E3612" s="58" t="s">
        <v>587</v>
      </c>
      <c r="F3612" s="58"/>
      <c r="G3612" s="25"/>
      <c r="H3612" s="25"/>
      <c r="I3612" s="25"/>
    </row>
    <row r="3613" spans="4:9" ht="12.75">
      <c r="D3613" s="5" t="s">
        <v>772</v>
      </c>
      <c r="E3613" s="55" t="s">
        <v>773</v>
      </c>
      <c r="F3613" s="55"/>
      <c r="G3613" s="24">
        <v>4414000</v>
      </c>
      <c r="H3613" s="24">
        <v>0</v>
      </c>
      <c r="I3613" s="24">
        <f>G3613+H3613</f>
        <v>4414000</v>
      </c>
    </row>
    <row r="3614" spans="4:9" ht="12.75">
      <c r="D3614" s="5" t="s">
        <v>784</v>
      </c>
      <c r="E3614" s="55" t="s">
        <v>785</v>
      </c>
      <c r="F3614" s="55"/>
      <c r="G3614" s="24">
        <v>0</v>
      </c>
      <c r="H3614" s="24">
        <v>235000</v>
      </c>
      <c r="I3614" s="24">
        <f>G3614+H3614</f>
        <v>235000</v>
      </c>
    </row>
    <row r="3615" spans="4:9" ht="13.5" thickBot="1">
      <c r="D3615" s="5" t="s">
        <v>825</v>
      </c>
      <c r="E3615" s="55" t="s">
        <v>905</v>
      </c>
      <c r="F3615" s="55"/>
      <c r="G3615" s="24">
        <v>0</v>
      </c>
      <c r="H3615" s="24">
        <v>220344.47</v>
      </c>
      <c r="I3615" s="24">
        <f>G3615+H3615</f>
        <v>220344.47</v>
      </c>
    </row>
    <row r="3616" spans="5:9" ht="13.5" thickBot="1">
      <c r="E3616" s="56" t="s">
        <v>588</v>
      </c>
      <c r="F3616" s="56"/>
      <c r="G3616" s="26">
        <f>SUM(G3613:G3615)</f>
        <v>4414000</v>
      </c>
      <c r="H3616" s="26">
        <f>SUM(H3613:H3615)</f>
        <v>455344.47</v>
      </c>
      <c r="I3616" s="26">
        <f>G3616+H3616</f>
        <v>4869344.47</v>
      </c>
    </row>
    <row r="3618" spans="1:6" ht="12.75">
      <c r="A3618" s="8" t="s">
        <v>766</v>
      </c>
      <c r="B3618" s="9" t="s">
        <v>162</v>
      </c>
      <c r="C3618" s="8"/>
      <c r="D3618" s="9"/>
      <c r="E3618" s="57" t="s">
        <v>323</v>
      </c>
      <c r="F3618" s="57"/>
    </row>
    <row r="3619" spans="1:6" ht="12.75">
      <c r="A3619" s="8"/>
      <c r="B3619" s="9"/>
      <c r="C3619" s="8" t="s">
        <v>770</v>
      </c>
      <c r="D3619" s="9"/>
      <c r="E3619" s="57" t="s">
        <v>771</v>
      </c>
      <c r="F3619" s="57"/>
    </row>
    <row r="3620" spans="4:9" ht="12.75">
      <c r="D3620" s="5" t="s">
        <v>911</v>
      </c>
      <c r="E3620" s="55" t="s">
        <v>199</v>
      </c>
      <c r="F3620" s="55"/>
      <c r="G3620" s="24">
        <v>3025000</v>
      </c>
      <c r="H3620" s="24">
        <v>0</v>
      </c>
      <c r="I3620" s="24">
        <f aca="true" t="shared" si="175" ref="I3620:I3629">G3620+H3620</f>
        <v>3025000</v>
      </c>
    </row>
    <row r="3621" spans="4:9" ht="12.75">
      <c r="D3621" s="5" t="s">
        <v>912</v>
      </c>
      <c r="E3621" s="55" t="s">
        <v>877</v>
      </c>
      <c r="F3621" s="55"/>
      <c r="G3621" s="24">
        <v>541000</v>
      </c>
      <c r="H3621" s="24">
        <v>0</v>
      </c>
      <c r="I3621" s="24">
        <f t="shared" si="175"/>
        <v>541000</v>
      </c>
    </row>
    <row r="3622" spans="4:9" ht="12.75">
      <c r="D3622" s="5" t="s">
        <v>921</v>
      </c>
      <c r="E3622" s="55" t="s">
        <v>880</v>
      </c>
      <c r="F3622" s="55"/>
      <c r="G3622" s="24">
        <v>100000</v>
      </c>
      <c r="H3622" s="24">
        <v>10000</v>
      </c>
      <c r="I3622" s="24">
        <f t="shared" si="175"/>
        <v>110000</v>
      </c>
    </row>
    <row r="3623" spans="4:9" ht="12.75">
      <c r="D3623" s="5" t="s">
        <v>919</v>
      </c>
      <c r="E3623" s="55" t="s">
        <v>200</v>
      </c>
      <c r="F3623" s="55"/>
      <c r="G3623" s="24">
        <v>55000</v>
      </c>
      <c r="H3623" s="24">
        <v>8000</v>
      </c>
      <c r="I3623" s="24">
        <f t="shared" si="175"/>
        <v>63000</v>
      </c>
    </row>
    <row r="3624" spans="4:9" ht="12.75">
      <c r="D3624" s="5" t="s">
        <v>913</v>
      </c>
      <c r="E3624" s="55" t="s">
        <v>881</v>
      </c>
      <c r="F3624" s="55"/>
      <c r="G3624" s="24">
        <v>1000000</v>
      </c>
      <c r="H3624" s="24">
        <v>0</v>
      </c>
      <c r="I3624" s="24">
        <f t="shared" si="175"/>
        <v>1000000</v>
      </c>
    </row>
    <row r="3625" spans="4:9" ht="12.75">
      <c r="D3625" s="5" t="s">
        <v>915</v>
      </c>
      <c r="E3625" s="55" t="s">
        <v>879</v>
      </c>
      <c r="F3625" s="55"/>
      <c r="G3625" s="24">
        <v>25000</v>
      </c>
      <c r="H3625" s="24">
        <v>0</v>
      </c>
      <c r="I3625" s="24">
        <f t="shared" si="175"/>
        <v>25000</v>
      </c>
    </row>
    <row r="3626" spans="4:9" ht="12.75">
      <c r="D3626" s="5" t="s">
        <v>916</v>
      </c>
      <c r="E3626" s="55" t="s">
        <v>882</v>
      </c>
      <c r="F3626" s="55"/>
      <c r="G3626" s="24">
        <v>101000</v>
      </c>
      <c r="H3626" s="24">
        <v>0</v>
      </c>
      <c r="I3626" s="24">
        <f t="shared" si="175"/>
        <v>101000</v>
      </c>
    </row>
    <row r="3627" spans="4:9" ht="12.75">
      <c r="D3627" s="5" t="s">
        <v>924</v>
      </c>
      <c r="E3627" s="55" t="s">
        <v>203</v>
      </c>
      <c r="F3627" s="55"/>
      <c r="G3627" s="24">
        <v>30000</v>
      </c>
      <c r="H3627" s="24">
        <v>2157.33</v>
      </c>
      <c r="I3627" s="24">
        <f t="shared" si="175"/>
        <v>32157.33</v>
      </c>
    </row>
    <row r="3628" spans="4:9" ht="12.75">
      <c r="D3628" s="5" t="s">
        <v>925</v>
      </c>
      <c r="E3628" s="55" t="s">
        <v>884</v>
      </c>
      <c r="F3628" s="55"/>
      <c r="G3628" s="24">
        <v>400000</v>
      </c>
      <c r="H3628" s="24">
        <v>25000</v>
      </c>
      <c r="I3628" s="24">
        <f t="shared" si="175"/>
        <v>425000</v>
      </c>
    </row>
    <row r="3629" spans="4:9" ht="13.5" thickBot="1">
      <c r="D3629" s="5" t="s">
        <v>927</v>
      </c>
      <c r="E3629" s="55" t="s">
        <v>886</v>
      </c>
      <c r="F3629" s="55"/>
      <c r="G3629" s="24">
        <v>46000</v>
      </c>
      <c r="H3629" s="24">
        <v>0</v>
      </c>
      <c r="I3629" s="24">
        <f t="shared" si="175"/>
        <v>46000</v>
      </c>
    </row>
    <row r="3630" spans="5:9" ht="12.75">
      <c r="E3630" s="58" t="s">
        <v>346</v>
      </c>
      <c r="F3630" s="58"/>
      <c r="G3630" s="25"/>
      <c r="H3630" s="25"/>
      <c r="I3630" s="25"/>
    </row>
    <row r="3631" spans="4:9" ht="12.75">
      <c r="D3631" s="5" t="s">
        <v>772</v>
      </c>
      <c r="E3631" s="55" t="s">
        <v>773</v>
      </c>
      <c r="F3631" s="55"/>
      <c r="G3631" s="24">
        <v>5323000</v>
      </c>
      <c r="I3631" s="24">
        <f>G3631+H3631</f>
        <v>5323000</v>
      </c>
    </row>
    <row r="3632" spans="4:9" ht="12.75">
      <c r="D3632" s="5" t="s">
        <v>784</v>
      </c>
      <c r="E3632" s="55" t="s">
        <v>785</v>
      </c>
      <c r="F3632" s="55"/>
      <c r="H3632" s="24">
        <v>43000</v>
      </c>
      <c r="I3632" s="24">
        <f>G3632+H3632</f>
        <v>43000</v>
      </c>
    </row>
    <row r="3633" spans="4:9" ht="13.5" thickBot="1">
      <c r="D3633" s="5" t="s">
        <v>825</v>
      </c>
      <c r="E3633" s="55" t="s">
        <v>905</v>
      </c>
      <c r="F3633" s="55"/>
      <c r="H3633" s="24">
        <v>2157.33</v>
      </c>
      <c r="I3633" s="24">
        <f>G3633+H3633</f>
        <v>2157.33</v>
      </c>
    </row>
    <row r="3634" spans="5:9" ht="13.5" thickBot="1">
      <c r="E3634" s="56" t="s">
        <v>347</v>
      </c>
      <c r="F3634" s="56"/>
      <c r="G3634" s="26">
        <f>SUM(G3631:G3633)</f>
        <v>5323000</v>
      </c>
      <c r="H3634" s="26">
        <f>SUM(H3631:H3633)</f>
        <v>45157.33</v>
      </c>
      <c r="I3634" s="26">
        <f>G3634+H3634</f>
        <v>5368157.33</v>
      </c>
    </row>
    <row r="3635" spans="5:9" ht="12.75">
      <c r="E3635" s="58" t="s">
        <v>589</v>
      </c>
      <c r="F3635" s="58"/>
      <c r="G3635" s="25"/>
      <c r="H3635" s="25"/>
      <c r="I3635" s="25"/>
    </row>
    <row r="3636" spans="4:9" ht="12.75">
      <c r="D3636" s="5" t="s">
        <v>772</v>
      </c>
      <c r="E3636" s="55" t="s">
        <v>773</v>
      </c>
      <c r="F3636" s="55"/>
      <c r="G3636" s="24">
        <v>5323000</v>
      </c>
      <c r="H3636" s="24">
        <v>0</v>
      </c>
      <c r="I3636" s="24">
        <f>G3636+H3636</f>
        <v>5323000</v>
      </c>
    </row>
    <row r="3637" spans="4:9" ht="12.75">
      <c r="D3637" s="5" t="s">
        <v>784</v>
      </c>
      <c r="E3637" s="55" t="s">
        <v>785</v>
      </c>
      <c r="F3637" s="55"/>
      <c r="G3637" s="24">
        <v>0</v>
      </c>
      <c r="H3637" s="24">
        <v>43000</v>
      </c>
      <c r="I3637" s="24">
        <f>G3637+H3637</f>
        <v>43000</v>
      </c>
    </row>
    <row r="3638" spans="4:9" ht="13.5" thickBot="1">
      <c r="D3638" s="5" t="s">
        <v>825</v>
      </c>
      <c r="E3638" s="55" t="s">
        <v>905</v>
      </c>
      <c r="F3638" s="55"/>
      <c r="G3638" s="24">
        <v>0</v>
      </c>
      <c r="H3638" s="24">
        <v>2157.33</v>
      </c>
      <c r="I3638" s="24">
        <f>G3638+H3638</f>
        <v>2157.33</v>
      </c>
    </row>
    <row r="3639" spans="5:9" ht="13.5" thickBot="1">
      <c r="E3639" s="56" t="s">
        <v>590</v>
      </c>
      <c r="F3639" s="56"/>
      <c r="G3639" s="26">
        <f>SUM(G3636:G3638)</f>
        <v>5323000</v>
      </c>
      <c r="H3639" s="26">
        <f>SUM(H3636:H3638)</f>
        <v>45157.33</v>
      </c>
      <c r="I3639" s="26">
        <f>G3639+H3639</f>
        <v>5368157.33</v>
      </c>
    </row>
    <row r="3640" ht="8.25" customHeight="1"/>
    <row r="3641" spans="1:6" ht="12.75">
      <c r="A3641" s="8" t="s">
        <v>766</v>
      </c>
      <c r="B3641" s="9" t="s">
        <v>163</v>
      </c>
      <c r="C3641" s="8"/>
      <c r="D3641" s="9"/>
      <c r="E3641" s="57" t="s">
        <v>324</v>
      </c>
      <c r="F3641" s="57"/>
    </row>
    <row r="3642" spans="1:6" ht="12.75">
      <c r="A3642" s="8"/>
      <c r="B3642" s="9"/>
      <c r="C3642" s="8" t="s">
        <v>770</v>
      </c>
      <c r="D3642" s="9"/>
      <c r="E3642" s="57" t="s">
        <v>771</v>
      </c>
      <c r="F3642" s="57"/>
    </row>
    <row r="3643" spans="4:9" ht="12.75">
      <c r="D3643" s="5" t="s">
        <v>911</v>
      </c>
      <c r="E3643" s="55" t="s">
        <v>199</v>
      </c>
      <c r="F3643" s="55"/>
      <c r="G3643" s="24">
        <v>3911000</v>
      </c>
      <c r="H3643" s="24">
        <v>0</v>
      </c>
      <c r="I3643" s="24">
        <f aca="true" t="shared" si="176" ref="I3643:I3653">G3643+H3643</f>
        <v>3911000</v>
      </c>
    </row>
    <row r="3644" spans="4:9" ht="12.75">
      <c r="D3644" s="5" t="s">
        <v>912</v>
      </c>
      <c r="E3644" s="55" t="s">
        <v>877</v>
      </c>
      <c r="F3644" s="55"/>
      <c r="G3644" s="24">
        <v>700000</v>
      </c>
      <c r="H3644" s="24">
        <v>0</v>
      </c>
      <c r="I3644" s="24">
        <f t="shared" si="176"/>
        <v>700000</v>
      </c>
    </row>
    <row r="3645" spans="4:9" ht="12.75">
      <c r="D3645" s="5" t="s">
        <v>921</v>
      </c>
      <c r="E3645" s="55" t="s">
        <v>880</v>
      </c>
      <c r="F3645" s="55"/>
      <c r="G3645" s="24">
        <v>112000</v>
      </c>
      <c r="H3645" s="24">
        <v>0</v>
      </c>
      <c r="I3645" s="24">
        <f t="shared" si="176"/>
        <v>112000</v>
      </c>
    </row>
    <row r="3646" spans="4:9" ht="12.75">
      <c r="D3646" s="5" t="s">
        <v>919</v>
      </c>
      <c r="E3646" s="55" t="s">
        <v>200</v>
      </c>
      <c r="F3646" s="55"/>
      <c r="G3646" s="24">
        <v>81000</v>
      </c>
      <c r="H3646" s="24">
        <v>0</v>
      </c>
      <c r="I3646" s="24">
        <f t="shared" si="176"/>
        <v>81000</v>
      </c>
    </row>
    <row r="3647" spans="4:9" ht="12.75">
      <c r="D3647" s="5" t="s">
        <v>913</v>
      </c>
      <c r="E3647" s="55" t="s">
        <v>881</v>
      </c>
      <c r="F3647" s="55"/>
      <c r="G3647" s="24">
        <v>1000000</v>
      </c>
      <c r="H3647" s="24">
        <v>0</v>
      </c>
      <c r="I3647" s="24">
        <f t="shared" si="176"/>
        <v>1000000</v>
      </c>
    </row>
    <row r="3648" spans="4:9" ht="12.75">
      <c r="D3648" s="5" t="s">
        <v>915</v>
      </c>
      <c r="E3648" s="55" t="s">
        <v>879</v>
      </c>
      <c r="F3648" s="55"/>
      <c r="G3648" s="24">
        <v>37000</v>
      </c>
      <c r="H3648" s="24">
        <v>60608.08</v>
      </c>
      <c r="I3648" s="24">
        <f t="shared" si="176"/>
        <v>97608.08</v>
      </c>
    </row>
    <row r="3649" spans="4:9" ht="12.75">
      <c r="D3649" s="5" t="s">
        <v>916</v>
      </c>
      <c r="E3649" s="55" t="s">
        <v>882</v>
      </c>
      <c r="F3649" s="55"/>
      <c r="G3649" s="24">
        <v>182000</v>
      </c>
      <c r="H3649" s="24">
        <v>10000</v>
      </c>
      <c r="I3649" s="24">
        <f t="shared" si="176"/>
        <v>192000</v>
      </c>
    </row>
    <row r="3650" spans="4:9" ht="12.75">
      <c r="D3650" s="5" t="s">
        <v>924</v>
      </c>
      <c r="E3650" s="55" t="s">
        <v>203</v>
      </c>
      <c r="F3650" s="55"/>
      <c r="G3650" s="24">
        <v>53000</v>
      </c>
      <c r="H3650" s="24">
        <v>25000</v>
      </c>
      <c r="I3650" s="24">
        <f t="shared" si="176"/>
        <v>78000</v>
      </c>
    </row>
    <row r="3651" spans="4:9" ht="12.75">
      <c r="D3651" s="5" t="s">
        <v>925</v>
      </c>
      <c r="E3651" s="55" t="s">
        <v>884</v>
      </c>
      <c r="F3651" s="55"/>
      <c r="G3651" s="24">
        <v>245000</v>
      </c>
      <c r="H3651" s="24">
        <v>50000</v>
      </c>
      <c r="I3651" s="24">
        <f t="shared" si="176"/>
        <v>295000</v>
      </c>
    </row>
    <row r="3652" spans="4:9" ht="12.75">
      <c r="D3652" s="5" t="s">
        <v>754</v>
      </c>
      <c r="E3652" s="55" t="s">
        <v>212</v>
      </c>
      <c r="F3652" s="55"/>
      <c r="G3652" s="24">
        <v>0</v>
      </c>
      <c r="H3652" s="24">
        <v>17000</v>
      </c>
      <c r="I3652" s="24">
        <f t="shared" si="176"/>
        <v>17000</v>
      </c>
    </row>
    <row r="3653" spans="4:9" ht="13.5" thickBot="1">
      <c r="D3653" s="5" t="s">
        <v>927</v>
      </c>
      <c r="E3653" s="55" t="s">
        <v>886</v>
      </c>
      <c r="F3653" s="55"/>
      <c r="G3653" s="24">
        <v>34000</v>
      </c>
      <c r="H3653" s="24">
        <v>140608.09</v>
      </c>
      <c r="I3653" s="24">
        <f t="shared" si="176"/>
        <v>174608.09</v>
      </c>
    </row>
    <row r="3654" spans="5:9" ht="12.75">
      <c r="E3654" s="58" t="s">
        <v>346</v>
      </c>
      <c r="F3654" s="58"/>
      <c r="G3654" s="25"/>
      <c r="H3654" s="25"/>
      <c r="I3654" s="25"/>
    </row>
    <row r="3655" spans="4:9" ht="12.75">
      <c r="D3655" s="5" t="s">
        <v>772</v>
      </c>
      <c r="E3655" s="55" t="s">
        <v>773</v>
      </c>
      <c r="F3655" s="55"/>
      <c r="G3655" s="24">
        <v>6355000</v>
      </c>
      <c r="I3655" s="24">
        <f>G3655+H3655</f>
        <v>6355000</v>
      </c>
    </row>
    <row r="3656" spans="4:9" ht="12.75">
      <c r="D3656" s="5" t="s">
        <v>784</v>
      </c>
      <c r="E3656" s="55" t="s">
        <v>785</v>
      </c>
      <c r="F3656" s="55"/>
      <c r="H3656" s="24">
        <v>112000</v>
      </c>
      <c r="I3656" s="24">
        <f>G3656+H3656</f>
        <v>112000</v>
      </c>
    </row>
    <row r="3657" spans="4:9" ht="13.5" thickBot="1">
      <c r="D3657" s="5" t="s">
        <v>825</v>
      </c>
      <c r="E3657" s="55" t="s">
        <v>905</v>
      </c>
      <c r="F3657" s="55"/>
      <c r="H3657" s="24">
        <v>191216.17</v>
      </c>
      <c r="I3657" s="24">
        <f>G3657+H3657</f>
        <v>191216.17</v>
      </c>
    </row>
    <row r="3658" spans="5:9" ht="13.5" thickBot="1">
      <c r="E3658" s="56" t="s">
        <v>347</v>
      </c>
      <c r="F3658" s="56"/>
      <c r="G3658" s="26">
        <f>SUM(G3655:G3657)</f>
        <v>6355000</v>
      </c>
      <c r="H3658" s="26">
        <f>SUM(H3655:H3657)</f>
        <v>303216.17000000004</v>
      </c>
      <c r="I3658" s="26">
        <f>G3658+H3658</f>
        <v>6658216.17</v>
      </c>
    </row>
    <row r="3659" spans="5:9" ht="12.75">
      <c r="E3659" s="58" t="s">
        <v>591</v>
      </c>
      <c r="F3659" s="58"/>
      <c r="G3659" s="25"/>
      <c r="H3659" s="25"/>
      <c r="I3659" s="25"/>
    </row>
    <row r="3660" spans="4:9" ht="12.75">
      <c r="D3660" s="5" t="s">
        <v>772</v>
      </c>
      <c r="E3660" s="55" t="s">
        <v>773</v>
      </c>
      <c r="F3660" s="55"/>
      <c r="G3660" s="24">
        <v>6355000</v>
      </c>
      <c r="H3660" s="24">
        <v>0</v>
      </c>
      <c r="I3660" s="24">
        <f>G3660+H3660</f>
        <v>6355000</v>
      </c>
    </row>
    <row r="3661" spans="4:9" ht="12.75">
      <c r="D3661" s="5" t="s">
        <v>784</v>
      </c>
      <c r="E3661" s="55" t="s">
        <v>785</v>
      </c>
      <c r="F3661" s="55"/>
      <c r="G3661" s="24">
        <v>0</v>
      </c>
      <c r="H3661" s="24">
        <f>+H3656</f>
        <v>112000</v>
      </c>
      <c r="I3661" s="24">
        <f>G3661+H3661</f>
        <v>112000</v>
      </c>
    </row>
    <row r="3662" spans="4:9" ht="13.5" thickBot="1">
      <c r="D3662" s="5" t="s">
        <v>825</v>
      </c>
      <c r="E3662" s="55" t="s">
        <v>905</v>
      </c>
      <c r="F3662" s="55"/>
      <c r="G3662" s="24">
        <v>0</v>
      </c>
      <c r="H3662" s="24">
        <f>+H3657</f>
        <v>191216.17</v>
      </c>
      <c r="I3662" s="24">
        <f>G3662+H3662</f>
        <v>191216.17</v>
      </c>
    </row>
    <row r="3663" spans="5:9" ht="13.5" thickBot="1">
      <c r="E3663" s="56" t="s">
        <v>592</v>
      </c>
      <c r="F3663" s="56"/>
      <c r="G3663" s="26">
        <f>SUM(G3660:G3662)</f>
        <v>6355000</v>
      </c>
      <c r="H3663" s="26">
        <f>SUM(H3660:H3662)</f>
        <v>303216.17000000004</v>
      </c>
      <c r="I3663" s="26">
        <f>G3663+H3663</f>
        <v>6658216.17</v>
      </c>
    </row>
    <row r="3664" ht="7.5" customHeight="1"/>
    <row r="3665" spans="1:6" ht="12.75">
      <c r="A3665" s="8" t="s">
        <v>766</v>
      </c>
      <c r="B3665" s="9" t="s">
        <v>164</v>
      </c>
      <c r="C3665" s="8"/>
      <c r="D3665" s="9"/>
      <c r="E3665" s="57" t="s">
        <v>325</v>
      </c>
      <c r="F3665" s="57"/>
    </row>
    <row r="3666" spans="1:6" ht="12.75">
      <c r="A3666" s="8"/>
      <c r="B3666" s="9"/>
      <c r="C3666" s="8" t="s">
        <v>770</v>
      </c>
      <c r="D3666" s="9"/>
      <c r="E3666" s="57" t="s">
        <v>771</v>
      </c>
      <c r="F3666" s="57"/>
    </row>
    <row r="3667" spans="4:9" ht="12.75">
      <c r="D3667" s="5" t="s">
        <v>911</v>
      </c>
      <c r="E3667" s="55" t="s">
        <v>199</v>
      </c>
      <c r="F3667" s="55"/>
      <c r="G3667" s="24">
        <v>2871000</v>
      </c>
      <c r="H3667" s="24">
        <v>0</v>
      </c>
      <c r="I3667" s="24">
        <f aca="true" t="shared" si="177" ref="I3667:I3678">G3667+H3667</f>
        <v>2871000</v>
      </c>
    </row>
    <row r="3668" spans="4:9" ht="12.75">
      <c r="D3668" s="5" t="s">
        <v>912</v>
      </c>
      <c r="E3668" s="55" t="s">
        <v>877</v>
      </c>
      <c r="F3668" s="55"/>
      <c r="G3668" s="24">
        <v>514000</v>
      </c>
      <c r="H3668" s="24">
        <v>0</v>
      </c>
      <c r="I3668" s="24">
        <f t="shared" si="177"/>
        <v>514000</v>
      </c>
    </row>
    <row r="3669" spans="4:9" ht="12.75">
      <c r="D3669" s="5" t="s">
        <v>918</v>
      </c>
      <c r="E3669" s="55" t="s">
        <v>878</v>
      </c>
      <c r="F3669" s="55"/>
      <c r="G3669" s="24">
        <v>10000</v>
      </c>
      <c r="H3669" s="24">
        <v>0</v>
      </c>
      <c r="I3669" s="24">
        <f t="shared" si="177"/>
        <v>10000</v>
      </c>
    </row>
    <row r="3670" spans="4:9" ht="12.75">
      <c r="D3670" s="5" t="s">
        <v>921</v>
      </c>
      <c r="E3670" s="55" t="s">
        <v>880</v>
      </c>
      <c r="F3670" s="55"/>
      <c r="G3670" s="24">
        <v>60000</v>
      </c>
      <c r="H3670" s="24">
        <v>0</v>
      </c>
      <c r="I3670" s="24">
        <f t="shared" si="177"/>
        <v>60000</v>
      </c>
    </row>
    <row r="3671" spans="4:9" ht="12.75">
      <c r="D3671" s="5" t="s">
        <v>919</v>
      </c>
      <c r="E3671" s="55" t="s">
        <v>200</v>
      </c>
      <c r="F3671" s="55"/>
      <c r="G3671" s="24">
        <v>36000</v>
      </c>
      <c r="H3671" s="24">
        <v>0</v>
      </c>
      <c r="I3671" s="24">
        <f t="shared" si="177"/>
        <v>36000</v>
      </c>
    </row>
    <row r="3672" spans="4:9" ht="12.75">
      <c r="D3672" s="5" t="s">
        <v>913</v>
      </c>
      <c r="E3672" s="55" t="s">
        <v>881</v>
      </c>
      <c r="F3672" s="55"/>
      <c r="G3672" s="24">
        <v>1000000</v>
      </c>
      <c r="H3672" s="24">
        <v>212000</v>
      </c>
      <c r="I3672" s="24">
        <f t="shared" si="177"/>
        <v>1212000</v>
      </c>
    </row>
    <row r="3673" spans="4:9" ht="12.75">
      <c r="D3673" s="5" t="s">
        <v>915</v>
      </c>
      <c r="E3673" s="55" t="s">
        <v>879</v>
      </c>
      <c r="F3673" s="55"/>
      <c r="G3673" s="24">
        <v>17000</v>
      </c>
      <c r="H3673" s="24">
        <v>80957.95</v>
      </c>
      <c r="I3673" s="24">
        <f t="shared" si="177"/>
        <v>97957.95</v>
      </c>
    </row>
    <row r="3674" spans="4:9" ht="12.75">
      <c r="D3674" s="5" t="s">
        <v>916</v>
      </c>
      <c r="E3674" s="55" t="s">
        <v>882</v>
      </c>
      <c r="F3674" s="55"/>
      <c r="G3674" s="24">
        <v>280000</v>
      </c>
      <c r="H3674" s="24">
        <v>158000</v>
      </c>
      <c r="I3674" s="24">
        <f t="shared" si="177"/>
        <v>438000</v>
      </c>
    </row>
    <row r="3675" spans="4:9" ht="12.75">
      <c r="D3675" s="5" t="s">
        <v>924</v>
      </c>
      <c r="E3675" s="55" t="s">
        <v>203</v>
      </c>
      <c r="F3675" s="55"/>
      <c r="G3675" s="24">
        <v>40000</v>
      </c>
      <c r="H3675" s="24">
        <v>50000</v>
      </c>
      <c r="I3675" s="24">
        <f t="shared" si="177"/>
        <v>90000</v>
      </c>
    </row>
    <row r="3676" spans="4:9" ht="12.75">
      <c r="D3676" s="5" t="s">
        <v>925</v>
      </c>
      <c r="E3676" s="55" t="s">
        <v>884</v>
      </c>
      <c r="F3676" s="55"/>
      <c r="G3676" s="24">
        <v>300000</v>
      </c>
      <c r="H3676" s="24">
        <v>138000</v>
      </c>
      <c r="I3676" s="24">
        <f t="shared" si="177"/>
        <v>438000</v>
      </c>
    </row>
    <row r="3677" spans="4:9" ht="12.75">
      <c r="D3677" s="5" t="s">
        <v>754</v>
      </c>
      <c r="E3677" s="55" t="s">
        <v>212</v>
      </c>
      <c r="F3677" s="55"/>
      <c r="G3677" s="24">
        <v>14000</v>
      </c>
      <c r="H3677" s="24">
        <v>10000</v>
      </c>
      <c r="I3677" s="24">
        <f t="shared" si="177"/>
        <v>24000</v>
      </c>
    </row>
    <row r="3678" spans="4:9" ht="13.5" thickBot="1">
      <c r="D3678" s="5" t="s">
        <v>927</v>
      </c>
      <c r="E3678" s="55" t="s">
        <v>886</v>
      </c>
      <c r="F3678" s="55"/>
      <c r="G3678" s="24">
        <v>17000</v>
      </c>
      <c r="H3678" s="24">
        <v>38000</v>
      </c>
      <c r="I3678" s="24">
        <f t="shared" si="177"/>
        <v>55000</v>
      </c>
    </row>
    <row r="3679" spans="5:9" ht="12.75">
      <c r="E3679" s="58" t="s">
        <v>346</v>
      </c>
      <c r="F3679" s="58"/>
      <c r="G3679" s="25"/>
      <c r="H3679" s="25"/>
      <c r="I3679" s="25"/>
    </row>
    <row r="3680" spans="4:9" ht="12.75">
      <c r="D3680" s="5" t="s">
        <v>772</v>
      </c>
      <c r="E3680" s="55" t="s">
        <v>773</v>
      </c>
      <c r="F3680" s="55"/>
      <c r="G3680" s="24">
        <v>5159000</v>
      </c>
      <c r="I3680" s="24">
        <f>G3680+H3680</f>
        <v>5159000</v>
      </c>
    </row>
    <row r="3681" spans="4:9" ht="12.75">
      <c r="D3681" s="5" t="s">
        <v>784</v>
      </c>
      <c r="E3681" s="55" t="s">
        <v>785</v>
      </c>
      <c r="F3681" s="55"/>
      <c r="H3681" s="24">
        <v>604000</v>
      </c>
      <c r="I3681" s="24">
        <f>G3681+H3681</f>
        <v>604000</v>
      </c>
    </row>
    <row r="3682" spans="4:9" ht="13.5" thickBot="1">
      <c r="D3682" s="5" t="s">
        <v>825</v>
      </c>
      <c r="E3682" s="55" t="s">
        <v>905</v>
      </c>
      <c r="F3682" s="55"/>
      <c r="H3682" s="24">
        <v>82957.95</v>
      </c>
      <c r="I3682" s="24">
        <f>G3682+H3682</f>
        <v>82957.95</v>
      </c>
    </row>
    <row r="3683" spans="5:9" ht="13.5" thickBot="1">
      <c r="E3683" s="56" t="s">
        <v>347</v>
      </c>
      <c r="F3683" s="56"/>
      <c r="G3683" s="26">
        <f>SUM(G3680:G3682)</f>
        <v>5159000</v>
      </c>
      <c r="H3683" s="26">
        <f>SUM(H3680:H3682)</f>
        <v>686957.95</v>
      </c>
      <c r="I3683" s="26">
        <f>G3683+H3683</f>
        <v>5845957.95</v>
      </c>
    </row>
    <row r="3684" spans="5:9" ht="12.75">
      <c r="E3684" s="58" t="s">
        <v>593</v>
      </c>
      <c r="F3684" s="58"/>
      <c r="G3684" s="25"/>
      <c r="H3684" s="25"/>
      <c r="I3684" s="25"/>
    </row>
    <row r="3685" spans="4:9" ht="12.75">
      <c r="D3685" s="5" t="s">
        <v>772</v>
      </c>
      <c r="E3685" s="55" t="s">
        <v>773</v>
      </c>
      <c r="F3685" s="55"/>
      <c r="G3685" s="24">
        <v>5159000</v>
      </c>
      <c r="H3685" s="24">
        <v>0</v>
      </c>
      <c r="I3685" s="24">
        <f>G3685+H3685</f>
        <v>5159000</v>
      </c>
    </row>
    <row r="3686" spans="4:9" ht="12.75">
      <c r="D3686" s="5" t="s">
        <v>784</v>
      </c>
      <c r="E3686" s="55" t="s">
        <v>785</v>
      </c>
      <c r="F3686" s="55"/>
      <c r="G3686" s="24">
        <v>0</v>
      </c>
      <c r="H3686" s="24">
        <v>604000</v>
      </c>
      <c r="I3686" s="24">
        <f>G3686+H3686</f>
        <v>604000</v>
      </c>
    </row>
    <row r="3687" spans="4:9" ht="13.5" thickBot="1">
      <c r="D3687" s="5" t="s">
        <v>825</v>
      </c>
      <c r="E3687" s="55" t="s">
        <v>905</v>
      </c>
      <c r="F3687" s="55"/>
      <c r="G3687" s="24">
        <v>0</v>
      </c>
      <c r="H3687" s="24">
        <v>82957.95</v>
      </c>
      <c r="I3687" s="24">
        <f>G3687+H3687</f>
        <v>82957.95</v>
      </c>
    </row>
    <row r="3688" spans="5:9" ht="13.5" thickBot="1">
      <c r="E3688" s="56" t="s">
        <v>594</v>
      </c>
      <c r="F3688" s="56"/>
      <c r="G3688" s="26">
        <f>SUM(G3685:G3687)</f>
        <v>5159000</v>
      </c>
      <c r="H3688" s="26">
        <f>SUM(H3685:H3687)</f>
        <v>686957.95</v>
      </c>
      <c r="I3688" s="26">
        <f>G3688+H3688</f>
        <v>5845957.95</v>
      </c>
    </row>
    <row r="3689" ht="7.5" customHeight="1"/>
    <row r="3690" spans="1:6" ht="12.75">
      <c r="A3690" s="8" t="s">
        <v>766</v>
      </c>
      <c r="B3690" s="9" t="s">
        <v>165</v>
      </c>
      <c r="C3690" s="8"/>
      <c r="D3690" s="9"/>
      <c r="E3690" s="57" t="s">
        <v>326</v>
      </c>
      <c r="F3690" s="57"/>
    </row>
    <row r="3691" spans="1:6" ht="12.75">
      <c r="A3691" s="8"/>
      <c r="B3691" s="9"/>
      <c r="C3691" s="8" t="s">
        <v>770</v>
      </c>
      <c r="D3691" s="9"/>
      <c r="E3691" s="57" t="s">
        <v>771</v>
      </c>
      <c r="F3691" s="57"/>
    </row>
    <row r="3692" spans="4:9" ht="12.75">
      <c r="D3692" s="5" t="s">
        <v>911</v>
      </c>
      <c r="E3692" s="55" t="s">
        <v>199</v>
      </c>
      <c r="F3692" s="55"/>
      <c r="G3692" s="24">
        <v>2138000</v>
      </c>
      <c r="H3692" s="24">
        <v>0</v>
      </c>
      <c r="I3692" s="24">
        <f aca="true" t="shared" si="178" ref="I3692:I3702">G3692+H3692</f>
        <v>2138000</v>
      </c>
    </row>
    <row r="3693" spans="4:9" ht="12.75">
      <c r="D3693" s="5" t="s">
        <v>912</v>
      </c>
      <c r="E3693" s="55" t="s">
        <v>877</v>
      </c>
      <c r="F3693" s="55"/>
      <c r="G3693" s="24">
        <v>383000</v>
      </c>
      <c r="H3693" s="24">
        <v>0</v>
      </c>
      <c r="I3693" s="24">
        <f t="shared" si="178"/>
        <v>383000</v>
      </c>
    </row>
    <row r="3694" spans="4:9" ht="12.75">
      <c r="D3694" s="5" t="s">
        <v>921</v>
      </c>
      <c r="E3694" s="55" t="s">
        <v>880</v>
      </c>
      <c r="F3694" s="55"/>
      <c r="G3694" s="24">
        <v>20000</v>
      </c>
      <c r="H3694" s="24">
        <v>0</v>
      </c>
      <c r="I3694" s="24">
        <f t="shared" si="178"/>
        <v>20000</v>
      </c>
    </row>
    <row r="3695" spans="4:9" ht="12.75">
      <c r="D3695" s="5" t="s">
        <v>919</v>
      </c>
      <c r="E3695" s="55" t="s">
        <v>200</v>
      </c>
      <c r="F3695" s="55"/>
      <c r="G3695" s="24">
        <v>60000</v>
      </c>
      <c r="H3695" s="24">
        <v>0</v>
      </c>
      <c r="I3695" s="24">
        <f t="shared" si="178"/>
        <v>60000</v>
      </c>
    </row>
    <row r="3696" spans="4:9" ht="12.75">
      <c r="D3696" s="5" t="s">
        <v>913</v>
      </c>
      <c r="E3696" s="55" t="s">
        <v>881</v>
      </c>
      <c r="F3696" s="55"/>
      <c r="G3696" s="24">
        <v>900000</v>
      </c>
      <c r="H3696" s="24">
        <v>200000</v>
      </c>
      <c r="I3696" s="24">
        <f t="shared" si="178"/>
        <v>1100000</v>
      </c>
    </row>
    <row r="3697" spans="4:9" ht="12.75">
      <c r="D3697" s="5" t="s">
        <v>915</v>
      </c>
      <c r="E3697" s="55" t="s">
        <v>879</v>
      </c>
      <c r="F3697" s="55"/>
      <c r="G3697" s="24">
        <v>45000</v>
      </c>
      <c r="H3697" s="24">
        <v>200000</v>
      </c>
      <c r="I3697" s="24">
        <f t="shared" si="178"/>
        <v>245000</v>
      </c>
    </row>
    <row r="3698" spans="4:9" ht="12.75">
      <c r="D3698" s="5" t="s">
        <v>916</v>
      </c>
      <c r="E3698" s="55" t="s">
        <v>882</v>
      </c>
      <c r="F3698" s="55"/>
      <c r="G3698" s="24">
        <v>338000</v>
      </c>
      <c r="H3698" s="24">
        <v>201993.36</v>
      </c>
      <c r="I3698" s="24">
        <f t="shared" si="178"/>
        <v>539993.36</v>
      </c>
    </row>
    <row r="3699" spans="4:9" ht="12.75">
      <c r="D3699" s="5" t="s">
        <v>924</v>
      </c>
      <c r="E3699" s="55" t="s">
        <v>203</v>
      </c>
      <c r="F3699" s="55"/>
      <c r="G3699" s="24">
        <v>40000</v>
      </c>
      <c r="H3699" s="24">
        <v>200000</v>
      </c>
      <c r="I3699" s="24">
        <f t="shared" si="178"/>
        <v>240000</v>
      </c>
    </row>
    <row r="3700" spans="4:9" ht="12.75">
      <c r="D3700" s="5" t="s">
        <v>925</v>
      </c>
      <c r="E3700" s="55" t="s">
        <v>884</v>
      </c>
      <c r="F3700" s="55"/>
      <c r="G3700" s="24">
        <v>224000</v>
      </c>
      <c r="H3700" s="24">
        <v>200000</v>
      </c>
      <c r="I3700" s="24">
        <f t="shared" si="178"/>
        <v>424000</v>
      </c>
    </row>
    <row r="3701" spans="4:9" ht="12.75">
      <c r="D3701" s="5" t="s">
        <v>926</v>
      </c>
      <c r="E3701" s="55" t="s">
        <v>885</v>
      </c>
      <c r="F3701" s="55"/>
      <c r="G3701" s="24">
        <v>104000</v>
      </c>
      <c r="H3701" s="24">
        <v>0</v>
      </c>
      <c r="I3701" s="24">
        <f t="shared" si="178"/>
        <v>104000</v>
      </c>
    </row>
    <row r="3702" spans="4:9" ht="13.5" thickBot="1">
      <c r="D3702" s="5" t="s">
        <v>927</v>
      </c>
      <c r="E3702" s="55" t="s">
        <v>886</v>
      </c>
      <c r="F3702" s="55"/>
      <c r="G3702" s="24">
        <v>334000</v>
      </c>
      <c r="H3702" s="24">
        <v>0</v>
      </c>
      <c r="I3702" s="24">
        <f t="shared" si="178"/>
        <v>334000</v>
      </c>
    </row>
    <row r="3703" spans="5:9" ht="12.75">
      <c r="E3703" s="58" t="s">
        <v>346</v>
      </c>
      <c r="F3703" s="58"/>
      <c r="G3703" s="25"/>
      <c r="H3703" s="25"/>
      <c r="I3703" s="25"/>
    </row>
    <row r="3704" spans="4:9" ht="12.75">
      <c r="D3704" s="5" t="s">
        <v>772</v>
      </c>
      <c r="E3704" s="55" t="s">
        <v>773</v>
      </c>
      <c r="F3704" s="55"/>
      <c r="G3704" s="24">
        <v>4586000</v>
      </c>
      <c r="I3704" s="24">
        <f>G3704+H3704</f>
        <v>4586000</v>
      </c>
    </row>
    <row r="3705" spans="4:9" ht="12.75">
      <c r="D3705" s="5" t="s">
        <v>784</v>
      </c>
      <c r="E3705" s="55" t="s">
        <v>785</v>
      </c>
      <c r="F3705" s="55"/>
      <c r="H3705" s="24">
        <v>1000000</v>
      </c>
      <c r="I3705" s="24">
        <f>G3705+H3705</f>
        <v>1000000</v>
      </c>
    </row>
    <row r="3706" spans="4:9" ht="13.5" thickBot="1">
      <c r="D3706" s="5" t="s">
        <v>825</v>
      </c>
      <c r="E3706" s="55" t="s">
        <v>905</v>
      </c>
      <c r="F3706" s="55"/>
      <c r="H3706" s="24">
        <v>1993.36</v>
      </c>
      <c r="I3706" s="24">
        <f>G3706+H3706</f>
        <v>1993.36</v>
      </c>
    </row>
    <row r="3707" spans="5:9" ht="13.5" thickBot="1">
      <c r="E3707" s="56" t="s">
        <v>347</v>
      </c>
      <c r="F3707" s="56"/>
      <c r="G3707" s="26">
        <f>SUM(G3704:G3706)</f>
        <v>4586000</v>
      </c>
      <c r="H3707" s="26">
        <f>SUM(H3704:H3706)</f>
        <v>1001993.36</v>
      </c>
      <c r="I3707" s="26">
        <f>G3707+H3707</f>
        <v>5587993.36</v>
      </c>
    </row>
    <row r="3708" spans="5:9" ht="12.75">
      <c r="E3708" s="58" t="s">
        <v>595</v>
      </c>
      <c r="F3708" s="58"/>
      <c r="G3708" s="25"/>
      <c r="H3708" s="25"/>
      <c r="I3708" s="25"/>
    </row>
    <row r="3709" spans="4:9" ht="12.75">
      <c r="D3709" s="5" t="s">
        <v>772</v>
      </c>
      <c r="E3709" s="55" t="s">
        <v>773</v>
      </c>
      <c r="F3709" s="55"/>
      <c r="G3709" s="24">
        <v>4586000</v>
      </c>
      <c r="H3709" s="24">
        <v>0</v>
      </c>
      <c r="I3709" s="24">
        <f>G3709+H3709</f>
        <v>4586000</v>
      </c>
    </row>
    <row r="3710" spans="4:9" ht="12.75">
      <c r="D3710" s="5" t="s">
        <v>784</v>
      </c>
      <c r="E3710" s="55" t="s">
        <v>785</v>
      </c>
      <c r="F3710" s="55"/>
      <c r="G3710" s="24">
        <v>0</v>
      </c>
      <c r="H3710" s="24">
        <v>1000000</v>
      </c>
      <c r="I3710" s="24">
        <f>G3710+H3710</f>
        <v>1000000</v>
      </c>
    </row>
    <row r="3711" spans="4:9" ht="13.5" thickBot="1">
      <c r="D3711" s="5" t="s">
        <v>825</v>
      </c>
      <c r="E3711" s="55" t="s">
        <v>905</v>
      </c>
      <c r="F3711" s="55"/>
      <c r="G3711" s="24">
        <v>0</v>
      </c>
      <c r="H3711" s="24">
        <v>1993.36</v>
      </c>
      <c r="I3711" s="24">
        <f>G3711+H3711</f>
        <v>1993.36</v>
      </c>
    </row>
    <row r="3712" spans="5:9" ht="13.5" thickBot="1">
      <c r="E3712" s="56" t="s">
        <v>596</v>
      </c>
      <c r="F3712" s="56"/>
      <c r="G3712" s="26">
        <f>SUM(G3709:G3711)</f>
        <v>4586000</v>
      </c>
      <c r="H3712" s="26">
        <f>SUM(H3709:H3711)</f>
        <v>1001993.36</v>
      </c>
      <c r="I3712" s="26">
        <f>G3712+H3712</f>
        <v>5587993.36</v>
      </c>
    </row>
    <row r="3713" ht="7.5" customHeight="1"/>
    <row r="3714" spans="1:6" ht="12.75">
      <c r="A3714" s="8" t="s">
        <v>766</v>
      </c>
      <c r="B3714" s="9" t="s">
        <v>166</v>
      </c>
      <c r="C3714" s="8"/>
      <c r="D3714" s="9"/>
      <c r="E3714" s="57" t="s">
        <v>327</v>
      </c>
      <c r="F3714" s="57"/>
    </row>
    <row r="3715" spans="1:6" ht="12.75">
      <c r="A3715" s="8"/>
      <c r="B3715" s="9"/>
      <c r="C3715" s="8" t="s">
        <v>770</v>
      </c>
      <c r="D3715" s="9"/>
      <c r="E3715" s="57" t="s">
        <v>771</v>
      </c>
      <c r="F3715" s="57"/>
    </row>
    <row r="3716" spans="4:9" ht="12.75">
      <c r="D3716" s="5" t="s">
        <v>911</v>
      </c>
      <c r="E3716" s="55" t="s">
        <v>199</v>
      </c>
      <c r="F3716" s="55"/>
      <c r="G3716" s="24">
        <v>3132000</v>
      </c>
      <c r="H3716" s="24">
        <v>0</v>
      </c>
      <c r="I3716" s="24">
        <f aca="true" t="shared" si="179" ref="I3716:I3727">G3716+H3716</f>
        <v>3132000</v>
      </c>
    </row>
    <row r="3717" spans="4:9" ht="12.75">
      <c r="D3717" s="5" t="s">
        <v>912</v>
      </c>
      <c r="E3717" s="55" t="s">
        <v>877</v>
      </c>
      <c r="F3717" s="55"/>
      <c r="G3717" s="24">
        <v>561000</v>
      </c>
      <c r="H3717" s="24">
        <v>0</v>
      </c>
      <c r="I3717" s="24">
        <f t="shared" si="179"/>
        <v>561000</v>
      </c>
    </row>
    <row r="3718" spans="4:9" ht="12.75">
      <c r="D3718" s="5" t="s">
        <v>918</v>
      </c>
      <c r="E3718" s="55" t="s">
        <v>878</v>
      </c>
      <c r="F3718" s="55"/>
      <c r="G3718" s="24">
        <v>10000</v>
      </c>
      <c r="H3718" s="24">
        <v>0</v>
      </c>
      <c r="I3718" s="24">
        <f t="shared" si="179"/>
        <v>10000</v>
      </c>
    </row>
    <row r="3719" spans="4:9" ht="12.75">
      <c r="D3719" s="5" t="s">
        <v>921</v>
      </c>
      <c r="E3719" s="55" t="s">
        <v>880</v>
      </c>
      <c r="F3719" s="55"/>
      <c r="G3719" s="24">
        <v>10000</v>
      </c>
      <c r="H3719" s="24">
        <v>0</v>
      </c>
      <c r="I3719" s="24">
        <f t="shared" si="179"/>
        <v>10000</v>
      </c>
    </row>
    <row r="3720" spans="4:9" ht="12.75">
      <c r="D3720" s="5" t="s">
        <v>919</v>
      </c>
      <c r="E3720" s="55" t="s">
        <v>200</v>
      </c>
      <c r="F3720" s="55"/>
      <c r="G3720" s="24">
        <v>30000</v>
      </c>
      <c r="H3720" s="24">
        <v>0</v>
      </c>
      <c r="I3720" s="24">
        <f t="shared" si="179"/>
        <v>30000</v>
      </c>
    </row>
    <row r="3721" spans="4:9" ht="12.75">
      <c r="D3721" s="5" t="s">
        <v>913</v>
      </c>
      <c r="E3721" s="55" t="s">
        <v>881</v>
      </c>
      <c r="F3721" s="55"/>
      <c r="G3721" s="24">
        <v>900000</v>
      </c>
      <c r="H3721" s="24">
        <v>5000</v>
      </c>
      <c r="I3721" s="24">
        <f t="shared" si="179"/>
        <v>905000</v>
      </c>
    </row>
    <row r="3722" spans="4:9" ht="12.75">
      <c r="D3722" s="5" t="s">
        <v>915</v>
      </c>
      <c r="E3722" s="55" t="s">
        <v>879</v>
      </c>
      <c r="F3722" s="55"/>
      <c r="G3722" s="24">
        <v>22000</v>
      </c>
      <c r="H3722" s="24">
        <v>0</v>
      </c>
      <c r="I3722" s="24">
        <f t="shared" si="179"/>
        <v>22000</v>
      </c>
    </row>
    <row r="3723" spans="4:9" ht="12.75">
      <c r="D3723" s="5" t="s">
        <v>916</v>
      </c>
      <c r="E3723" s="55" t="s">
        <v>882</v>
      </c>
      <c r="F3723" s="55"/>
      <c r="G3723" s="24">
        <v>145000</v>
      </c>
      <c r="H3723" s="24">
        <v>5000</v>
      </c>
      <c r="I3723" s="24">
        <f t="shared" si="179"/>
        <v>150000</v>
      </c>
    </row>
    <row r="3724" spans="4:9" ht="12.75">
      <c r="D3724" s="5" t="s">
        <v>924</v>
      </c>
      <c r="E3724" s="55" t="s">
        <v>203</v>
      </c>
      <c r="F3724" s="55"/>
      <c r="G3724" s="24">
        <v>43000</v>
      </c>
      <c r="H3724" s="24">
        <v>8000</v>
      </c>
      <c r="I3724" s="24">
        <f t="shared" si="179"/>
        <v>51000</v>
      </c>
    </row>
    <row r="3725" spans="4:9" ht="12.75">
      <c r="D3725" s="5" t="s">
        <v>925</v>
      </c>
      <c r="E3725" s="55" t="s">
        <v>884</v>
      </c>
      <c r="F3725" s="55"/>
      <c r="G3725" s="24">
        <v>300000</v>
      </c>
      <c r="H3725" s="24">
        <v>2000</v>
      </c>
      <c r="I3725" s="24">
        <f t="shared" si="179"/>
        <v>302000</v>
      </c>
    </row>
    <row r="3726" spans="4:9" ht="12.75">
      <c r="D3726" s="5" t="s">
        <v>754</v>
      </c>
      <c r="E3726" s="55" t="s">
        <v>212</v>
      </c>
      <c r="F3726" s="55"/>
      <c r="G3726" s="24">
        <v>0</v>
      </c>
      <c r="H3726" s="24">
        <v>2000</v>
      </c>
      <c r="I3726" s="24">
        <f t="shared" si="179"/>
        <v>2000</v>
      </c>
    </row>
    <row r="3727" spans="4:9" ht="13.5" thickBot="1">
      <c r="D3727" s="5" t="s">
        <v>927</v>
      </c>
      <c r="E3727" s="55" t="s">
        <v>886</v>
      </c>
      <c r="F3727" s="55"/>
      <c r="G3727" s="24">
        <v>23000</v>
      </c>
      <c r="H3727" s="24">
        <v>11880.33</v>
      </c>
      <c r="I3727" s="24">
        <f t="shared" si="179"/>
        <v>34880.33</v>
      </c>
    </row>
    <row r="3728" spans="5:9" ht="12.75">
      <c r="E3728" s="58" t="s">
        <v>346</v>
      </c>
      <c r="F3728" s="58"/>
      <c r="G3728" s="25"/>
      <c r="H3728" s="25"/>
      <c r="I3728" s="25"/>
    </row>
    <row r="3729" spans="4:9" ht="12.75">
      <c r="D3729" s="5" t="s">
        <v>772</v>
      </c>
      <c r="E3729" s="55" t="s">
        <v>773</v>
      </c>
      <c r="F3729" s="55"/>
      <c r="G3729" s="24">
        <v>5176000</v>
      </c>
      <c r="I3729" s="24">
        <f>G3729+H3729</f>
        <v>5176000</v>
      </c>
    </row>
    <row r="3730" spans="4:9" ht="12.75">
      <c r="D3730" s="5" t="s">
        <v>784</v>
      </c>
      <c r="E3730" s="55" t="s">
        <v>785</v>
      </c>
      <c r="F3730" s="55"/>
      <c r="H3730" s="24">
        <v>24000</v>
      </c>
      <c r="I3730" s="24">
        <f>G3730+H3730</f>
        <v>24000</v>
      </c>
    </row>
    <row r="3731" spans="4:9" ht="13.5" thickBot="1">
      <c r="D3731" s="5" t="s">
        <v>825</v>
      </c>
      <c r="E3731" s="55" t="s">
        <v>905</v>
      </c>
      <c r="F3731" s="55"/>
      <c r="H3731" s="24">
        <v>9880.33</v>
      </c>
      <c r="I3731" s="24">
        <f>G3731+H3731</f>
        <v>9880.33</v>
      </c>
    </row>
    <row r="3732" spans="5:9" ht="13.5" thickBot="1">
      <c r="E3732" s="56" t="s">
        <v>347</v>
      </c>
      <c r="F3732" s="56"/>
      <c r="G3732" s="26">
        <f>SUM(G3729:G3731)</f>
        <v>5176000</v>
      </c>
      <c r="H3732" s="26">
        <f>SUM(H3729:H3731)</f>
        <v>33880.33</v>
      </c>
      <c r="I3732" s="26">
        <f>G3732+H3732</f>
        <v>5209880.33</v>
      </c>
    </row>
    <row r="3733" spans="5:9" ht="12.75">
      <c r="E3733" s="58" t="s">
        <v>597</v>
      </c>
      <c r="F3733" s="58"/>
      <c r="G3733" s="25"/>
      <c r="H3733" s="25"/>
      <c r="I3733" s="25"/>
    </row>
    <row r="3734" spans="4:9" ht="12.75">
      <c r="D3734" s="5" t="s">
        <v>772</v>
      </c>
      <c r="E3734" s="55" t="s">
        <v>773</v>
      </c>
      <c r="F3734" s="55"/>
      <c r="G3734" s="24">
        <v>5176000</v>
      </c>
      <c r="H3734" s="24">
        <v>0</v>
      </c>
      <c r="I3734" s="24">
        <f>G3734+H3734</f>
        <v>5176000</v>
      </c>
    </row>
    <row r="3735" spans="4:9" ht="12.75">
      <c r="D3735" s="5" t="s">
        <v>784</v>
      </c>
      <c r="E3735" s="55" t="s">
        <v>785</v>
      </c>
      <c r="F3735" s="55"/>
      <c r="G3735" s="24">
        <v>0</v>
      </c>
      <c r="H3735" s="24">
        <v>24000</v>
      </c>
      <c r="I3735" s="24">
        <f>G3735+H3735</f>
        <v>24000</v>
      </c>
    </row>
    <row r="3736" spans="4:9" ht="13.5" thickBot="1">
      <c r="D3736" s="5" t="s">
        <v>825</v>
      </c>
      <c r="E3736" s="55" t="s">
        <v>905</v>
      </c>
      <c r="F3736" s="55"/>
      <c r="G3736" s="24">
        <v>0</v>
      </c>
      <c r="H3736" s="24">
        <v>9880.33</v>
      </c>
      <c r="I3736" s="24">
        <f>G3736+H3736</f>
        <v>9880.33</v>
      </c>
    </row>
    <row r="3737" spans="5:9" ht="13.5" thickBot="1">
      <c r="E3737" s="56" t="s">
        <v>598</v>
      </c>
      <c r="F3737" s="56"/>
      <c r="G3737" s="26">
        <f>SUM(G3734:G3736)</f>
        <v>5176000</v>
      </c>
      <c r="H3737" s="26">
        <f>SUM(H3734:H3736)</f>
        <v>33880.33</v>
      </c>
      <c r="I3737" s="26">
        <f>G3737+H3737</f>
        <v>5209880.33</v>
      </c>
    </row>
    <row r="3738" ht="8.25" customHeight="1"/>
    <row r="3739" spans="1:6" ht="12.75">
      <c r="A3739" s="8" t="s">
        <v>766</v>
      </c>
      <c r="B3739" s="9" t="s">
        <v>167</v>
      </c>
      <c r="C3739" s="8"/>
      <c r="D3739" s="9"/>
      <c r="E3739" s="57" t="s">
        <v>328</v>
      </c>
      <c r="F3739" s="57"/>
    </row>
    <row r="3740" spans="1:6" ht="12.75">
      <c r="A3740" s="8"/>
      <c r="B3740" s="9"/>
      <c r="C3740" s="8" t="s">
        <v>770</v>
      </c>
      <c r="D3740" s="9"/>
      <c r="E3740" s="57" t="s">
        <v>771</v>
      </c>
      <c r="F3740" s="57"/>
    </row>
    <row r="3741" spans="4:9" ht="12.75">
      <c r="D3741" s="5" t="s">
        <v>911</v>
      </c>
      <c r="E3741" s="55" t="s">
        <v>199</v>
      </c>
      <c r="F3741" s="55"/>
      <c r="G3741" s="24">
        <v>5446000</v>
      </c>
      <c r="H3741" s="24">
        <v>0</v>
      </c>
      <c r="I3741" s="24">
        <f aca="true" t="shared" si="180" ref="I3741:I3752">G3741+H3741</f>
        <v>5446000</v>
      </c>
    </row>
    <row r="3742" spans="4:9" ht="12.75">
      <c r="D3742" s="5" t="s">
        <v>912</v>
      </c>
      <c r="E3742" s="55" t="s">
        <v>877</v>
      </c>
      <c r="F3742" s="55"/>
      <c r="G3742" s="24">
        <v>975000</v>
      </c>
      <c r="H3742" s="24">
        <v>0</v>
      </c>
      <c r="I3742" s="24">
        <f t="shared" si="180"/>
        <v>975000</v>
      </c>
    </row>
    <row r="3743" spans="4:9" ht="12.75">
      <c r="D3743" s="5" t="s">
        <v>921</v>
      </c>
      <c r="E3743" s="55" t="s">
        <v>880</v>
      </c>
      <c r="F3743" s="55"/>
      <c r="G3743" s="24">
        <v>35000</v>
      </c>
      <c r="H3743" s="24">
        <v>0</v>
      </c>
      <c r="I3743" s="24">
        <f t="shared" si="180"/>
        <v>35000</v>
      </c>
    </row>
    <row r="3744" spans="4:9" ht="12.75">
      <c r="D3744" s="5" t="s">
        <v>919</v>
      </c>
      <c r="E3744" s="55" t="s">
        <v>200</v>
      </c>
      <c r="F3744" s="55"/>
      <c r="G3744" s="24">
        <v>125000</v>
      </c>
      <c r="H3744" s="24">
        <v>0</v>
      </c>
      <c r="I3744" s="24">
        <f t="shared" si="180"/>
        <v>125000</v>
      </c>
    </row>
    <row r="3745" spans="4:9" ht="12.75">
      <c r="D3745" s="5" t="s">
        <v>913</v>
      </c>
      <c r="E3745" s="55" t="s">
        <v>881</v>
      </c>
      <c r="F3745" s="55"/>
      <c r="G3745" s="24">
        <v>2500000</v>
      </c>
      <c r="H3745" s="24">
        <v>38000</v>
      </c>
      <c r="I3745" s="24">
        <f t="shared" si="180"/>
        <v>2538000</v>
      </c>
    </row>
    <row r="3746" spans="4:9" ht="12.75">
      <c r="D3746" s="5" t="s">
        <v>915</v>
      </c>
      <c r="E3746" s="55" t="s">
        <v>879</v>
      </c>
      <c r="F3746" s="55"/>
      <c r="G3746" s="24">
        <v>44000</v>
      </c>
      <c r="H3746" s="24">
        <v>113200</v>
      </c>
      <c r="I3746" s="24">
        <f t="shared" si="180"/>
        <v>157200</v>
      </c>
    </row>
    <row r="3747" spans="4:9" ht="12.75">
      <c r="D3747" s="5" t="s">
        <v>916</v>
      </c>
      <c r="E3747" s="55" t="s">
        <v>882</v>
      </c>
      <c r="F3747" s="55"/>
      <c r="G3747" s="24">
        <v>512000</v>
      </c>
      <c r="H3747" s="24">
        <v>157600</v>
      </c>
      <c r="I3747" s="24">
        <f t="shared" si="180"/>
        <v>669600</v>
      </c>
    </row>
    <row r="3748" spans="4:9" ht="12.75">
      <c r="D3748" s="5" t="s">
        <v>923</v>
      </c>
      <c r="E3748" s="55" t="s">
        <v>883</v>
      </c>
      <c r="F3748" s="55"/>
      <c r="G3748" s="24">
        <v>0</v>
      </c>
      <c r="H3748" s="24">
        <v>5000</v>
      </c>
      <c r="I3748" s="24">
        <f t="shared" si="180"/>
        <v>5000</v>
      </c>
    </row>
    <row r="3749" spans="4:9" ht="12.75">
      <c r="D3749" s="5" t="s">
        <v>924</v>
      </c>
      <c r="E3749" s="55" t="s">
        <v>203</v>
      </c>
      <c r="F3749" s="55"/>
      <c r="G3749" s="24">
        <v>160000</v>
      </c>
      <c r="H3749" s="24">
        <v>161001.97</v>
      </c>
      <c r="I3749" s="24">
        <f t="shared" si="180"/>
        <v>321001.97</v>
      </c>
    </row>
    <row r="3750" spans="4:9" ht="12.75">
      <c r="D3750" s="5" t="s">
        <v>925</v>
      </c>
      <c r="E3750" s="55" t="s">
        <v>884</v>
      </c>
      <c r="F3750" s="55"/>
      <c r="G3750" s="24">
        <v>800000</v>
      </c>
      <c r="H3750" s="24">
        <v>50000</v>
      </c>
      <c r="I3750" s="24">
        <f t="shared" si="180"/>
        <v>850000</v>
      </c>
    </row>
    <row r="3751" spans="4:9" ht="12.75">
      <c r="D3751" s="5" t="s">
        <v>754</v>
      </c>
      <c r="E3751" s="55" t="s">
        <v>212</v>
      </c>
      <c r="F3751" s="55"/>
      <c r="G3751" s="24">
        <v>20000</v>
      </c>
      <c r="H3751" s="24">
        <v>2000</v>
      </c>
      <c r="I3751" s="24">
        <f t="shared" si="180"/>
        <v>22000</v>
      </c>
    </row>
    <row r="3752" spans="4:9" ht="13.5" thickBot="1">
      <c r="D3752" s="5" t="s">
        <v>927</v>
      </c>
      <c r="E3752" s="55" t="s">
        <v>886</v>
      </c>
      <c r="F3752" s="55"/>
      <c r="G3752" s="24">
        <v>115000</v>
      </c>
      <c r="H3752" s="24">
        <v>122000</v>
      </c>
      <c r="I3752" s="24">
        <f t="shared" si="180"/>
        <v>237000</v>
      </c>
    </row>
    <row r="3753" spans="5:9" ht="12.75">
      <c r="E3753" s="58" t="s">
        <v>346</v>
      </c>
      <c r="F3753" s="58"/>
      <c r="G3753" s="25"/>
      <c r="H3753" s="25"/>
      <c r="I3753" s="25"/>
    </row>
    <row r="3754" spans="4:9" ht="12.75">
      <c r="D3754" s="5" t="s">
        <v>772</v>
      </c>
      <c r="E3754" s="55" t="s">
        <v>773</v>
      </c>
      <c r="F3754" s="55"/>
      <c r="G3754" s="24">
        <v>10732000</v>
      </c>
      <c r="I3754" s="24">
        <f>G3754+H3754</f>
        <v>10732000</v>
      </c>
    </row>
    <row r="3755" spans="4:9" ht="12.75">
      <c r="D3755" s="5" t="s">
        <v>784</v>
      </c>
      <c r="E3755" s="55" t="s">
        <v>785</v>
      </c>
      <c r="F3755" s="55"/>
      <c r="H3755" s="24">
        <v>542936</v>
      </c>
      <c r="I3755" s="24">
        <f>G3755+H3755</f>
        <v>542936</v>
      </c>
    </row>
    <row r="3756" spans="4:9" ht="12.75">
      <c r="D3756" s="5" t="s">
        <v>786</v>
      </c>
      <c r="E3756" s="55" t="s">
        <v>787</v>
      </c>
      <c r="F3756" s="55"/>
      <c r="H3756" s="24">
        <v>84000</v>
      </c>
      <c r="I3756" s="24">
        <f>G3756+H3756</f>
        <v>84000</v>
      </c>
    </row>
    <row r="3757" spans="4:9" ht="13.5" thickBot="1">
      <c r="D3757" s="5" t="s">
        <v>825</v>
      </c>
      <c r="E3757" s="55" t="s">
        <v>905</v>
      </c>
      <c r="F3757" s="55"/>
      <c r="H3757" s="24">
        <v>21865.97</v>
      </c>
      <c r="I3757" s="24">
        <f>G3757+H3757</f>
        <v>21865.97</v>
      </c>
    </row>
    <row r="3758" spans="5:9" ht="13.5" thickBot="1">
      <c r="E3758" s="56" t="s">
        <v>347</v>
      </c>
      <c r="F3758" s="56"/>
      <c r="G3758" s="26">
        <f>SUM(G3754:G3757)</f>
        <v>10732000</v>
      </c>
      <c r="H3758" s="26">
        <f>SUM(H3754:H3757)</f>
        <v>648801.97</v>
      </c>
      <c r="I3758" s="26">
        <f>G3758+H3758</f>
        <v>11380801.97</v>
      </c>
    </row>
    <row r="3759" spans="5:9" ht="12.75">
      <c r="E3759" s="58" t="s">
        <v>599</v>
      </c>
      <c r="F3759" s="58"/>
      <c r="G3759" s="25"/>
      <c r="H3759" s="25"/>
      <c r="I3759" s="25"/>
    </row>
    <row r="3760" spans="4:9" ht="12.75">
      <c r="D3760" s="5" t="s">
        <v>772</v>
      </c>
      <c r="E3760" s="55" t="s">
        <v>773</v>
      </c>
      <c r="F3760" s="55"/>
      <c r="G3760" s="24">
        <v>10732000</v>
      </c>
      <c r="H3760" s="24">
        <v>0</v>
      </c>
      <c r="I3760" s="24">
        <f>G3760+H3760</f>
        <v>10732000</v>
      </c>
    </row>
    <row r="3761" spans="4:9" ht="12.75">
      <c r="D3761" s="5" t="s">
        <v>784</v>
      </c>
      <c r="E3761" s="55" t="s">
        <v>785</v>
      </c>
      <c r="F3761" s="55"/>
      <c r="G3761" s="24">
        <v>0</v>
      </c>
      <c r="H3761" s="24">
        <f>+H3755</f>
        <v>542936</v>
      </c>
      <c r="I3761" s="24">
        <f>G3761+H3761</f>
        <v>542936</v>
      </c>
    </row>
    <row r="3762" spans="4:9" ht="12.75">
      <c r="D3762" s="5" t="s">
        <v>786</v>
      </c>
      <c r="E3762" s="55" t="s">
        <v>787</v>
      </c>
      <c r="F3762" s="55"/>
      <c r="G3762" s="24">
        <v>0</v>
      </c>
      <c r="H3762" s="24">
        <f>+H3756</f>
        <v>84000</v>
      </c>
      <c r="I3762" s="24">
        <f>G3762+H3762</f>
        <v>84000</v>
      </c>
    </row>
    <row r="3763" spans="4:9" ht="13.5" thickBot="1">
      <c r="D3763" s="5" t="s">
        <v>825</v>
      </c>
      <c r="E3763" s="55" t="s">
        <v>905</v>
      </c>
      <c r="F3763" s="55"/>
      <c r="G3763" s="24">
        <v>0</v>
      </c>
      <c r="H3763" s="24">
        <f>+H3757</f>
        <v>21865.97</v>
      </c>
      <c r="I3763" s="24">
        <f>G3763+H3763</f>
        <v>21865.97</v>
      </c>
    </row>
    <row r="3764" spans="5:9" ht="13.5" thickBot="1">
      <c r="E3764" s="56" t="s">
        <v>600</v>
      </c>
      <c r="F3764" s="56"/>
      <c r="G3764" s="26">
        <f>SUM(G3760:G3763)</f>
        <v>10732000</v>
      </c>
      <c r="H3764" s="26">
        <f>SUM(H3760:H3763)</f>
        <v>648801.97</v>
      </c>
      <c r="I3764" s="26">
        <f>G3764+H3764</f>
        <v>11380801.97</v>
      </c>
    </row>
    <row r="3765" ht="8.25" customHeight="1"/>
    <row r="3766" spans="1:6" ht="12.75">
      <c r="A3766" s="8" t="s">
        <v>766</v>
      </c>
      <c r="B3766" s="9" t="s">
        <v>168</v>
      </c>
      <c r="C3766" s="8"/>
      <c r="D3766" s="9"/>
      <c r="E3766" s="57" t="s">
        <v>329</v>
      </c>
      <c r="F3766" s="57"/>
    </row>
    <row r="3767" spans="1:6" ht="12.75">
      <c r="A3767" s="8"/>
      <c r="B3767" s="9"/>
      <c r="C3767" s="8" t="s">
        <v>770</v>
      </c>
      <c r="D3767" s="9"/>
      <c r="E3767" s="57" t="s">
        <v>771</v>
      </c>
      <c r="F3767" s="57"/>
    </row>
    <row r="3768" spans="4:9" ht="12.75">
      <c r="D3768" s="5" t="s">
        <v>911</v>
      </c>
      <c r="E3768" s="55" t="s">
        <v>199</v>
      </c>
      <c r="F3768" s="55"/>
      <c r="G3768" s="24">
        <v>2422000</v>
      </c>
      <c r="H3768" s="24">
        <v>0</v>
      </c>
      <c r="I3768" s="24">
        <f aca="true" t="shared" si="181" ref="I3768:I3779">G3768+H3768</f>
        <v>2422000</v>
      </c>
    </row>
    <row r="3769" spans="4:9" ht="12.75">
      <c r="D3769" s="5" t="s">
        <v>912</v>
      </c>
      <c r="E3769" s="55" t="s">
        <v>877</v>
      </c>
      <c r="F3769" s="55"/>
      <c r="G3769" s="24">
        <v>434000</v>
      </c>
      <c r="H3769" s="24">
        <v>0</v>
      </c>
      <c r="I3769" s="24">
        <f t="shared" si="181"/>
        <v>434000</v>
      </c>
    </row>
    <row r="3770" spans="4:9" ht="12.75">
      <c r="D3770" s="5" t="s">
        <v>918</v>
      </c>
      <c r="E3770" s="55" t="s">
        <v>878</v>
      </c>
      <c r="F3770" s="55"/>
      <c r="G3770" s="24">
        <v>10000</v>
      </c>
      <c r="H3770" s="24">
        <v>0</v>
      </c>
      <c r="I3770" s="24">
        <f t="shared" si="181"/>
        <v>10000</v>
      </c>
    </row>
    <row r="3771" spans="4:9" ht="12.75">
      <c r="D3771" s="5" t="s">
        <v>921</v>
      </c>
      <c r="E3771" s="55" t="s">
        <v>880</v>
      </c>
      <c r="F3771" s="55"/>
      <c r="G3771" s="24">
        <v>10000</v>
      </c>
      <c r="H3771" s="24">
        <v>0</v>
      </c>
      <c r="I3771" s="24">
        <f t="shared" si="181"/>
        <v>10000</v>
      </c>
    </row>
    <row r="3772" spans="4:9" ht="12.75">
      <c r="D3772" s="5" t="s">
        <v>919</v>
      </c>
      <c r="E3772" s="55" t="s">
        <v>200</v>
      </c>
      <c r="F3772" s="55"/>
      <c r="G3772" s="24">
        <v>62000</v>
      </c>
      <c r="H3772" s="24">
        <v>0</v>
      </c>
      <c r="I3772" s="24">
        <f t="shared" si="181"/>
        <v>62000</v>
      </c>
    </row>
    <row r="3773" spans="4:9" ht="12.75">
      <c r="D3773" s="5" t="s">
        <v>913</v>
      </c>
      <c r="E3773" s="55" t="s">
        <v>881</v>
      </c>
      <c r="F3773" s="55"/>
      <c r="G3773" s="24">
        <v>690000</v>
      </c>
      <c r="H3773" s="24">
        <v>270000</v>
      </c>
      <c r="I3773" s="24">
        <f t="shared" si="181"/>
        <v>960000</v>
      </c>
    </row>
    <row r="3774" spans="4:9" ht="12.75">
      <c r="D3774" s="5" t="s">
        <v>915</v>
      </c>
      <c r="E3774" s="55" t="s">
        <v>879</v>
      </c>
      <c r="F3774" s="55"/>
      <c r="G3774" s="24">
        <v>21000</v>
      </c>
      <c r="H3774" s="24">
        <v>55000</v>
      </c>
      <c r="I3774" s="24">
        <f t="shared" si="181"/>
        <v>76000</v>
      </c>
    </row>
    <row r="3775" spans="4:9" ht="12.75">
      <c r="D3775" s="5" t="s">
        <v>916</v>
      </c>
      <c r="E3775" s="55" t="s">
        <v>882</v>
      </c>
      <c r="F3775" s="55"/>
      <c r="G3775" s="24">
        <v>84000</v>
      </c>
      <c r="H3775" s="24">
        <v>210000</v>
      </c>
      <c r="I3775" s="24">
        <f t="shared" si="181"/>
        <v>294000</v>
      </c>
    </row>
    <row r="3776" spans="4:9" ht="12.75">
      <c r="D3776" s="5" t="s">
        <v>924</v>
      </c>
      <c r="E3776" s="55" t="s">
        <v>203</v>
      </c>
      <c r="F3776" s="55"/>
      <c r="G3776" s="24">
        <v>415000</v>
      </c>
      <c r="H3776" s="24">
        <v>0</v>
      </c>
      <c r="I3776" s="24">
        <f t="shared" si="181"/>
        <v>415000</v>
      </c>
    </row>
    <row r="3777" spans="4:9" ht="12.75">
      <c r="D3777" s="5" t="s">
        <v>925</v>
      </c>
      <c r="E3777" s="55" t="s">
        <v>884</v>
      </c>
      <c r="F3777" s="55"/>
      <c r="G3777" s="24">
        <v>170000</v>
      </c>
      <c r="H3777" s="24">
        <v>50000</v>
      </c>
      <c r="I3777" s="24">
        <f t="shared" si="181"/>
        <v>220000</v>
      </c>
    </row>
    <row r="3778" spans="4:9" ht="12.75">
      <c r="D3778" s="5" t="s">
        <v>754</v>
      </c>
      <c r="E3778" s="55" t="s">
        <v>212</v>
      </c>
      <c r="F3778" s="55"/>
      <c r="G3778" s="24">
        <v>0</v>
      </c>
      <c r="H3778" s="24">
        <v>12000</v>
      </c>
      <c r="I3778" s="24">
        <f t="shared" si="181"/>
        <v>12000</v>
      </c>
    </row>
    <row r="3779" spans="4:9" ht="13.5" thickBot="1">
      <c r="D3779" s="5" t="s">
        <v>927</v>
      </c>
      <c r="E3779" s="55" t="s">
        <v>886</v>
      </c>
      <c r="F3779" s="55"/>
      <c r="G3779" s="24">
        <v>12000</v>
      </c>
      <c r="H3779" s="24">
        <v>25000</v>
      </c>
      <c r="I3779" s="24">
        <f t="shared" si="181"/>
        <v>37000</v>
      </c>
    </row>
    <row r="3780" spans="5:9" ht="12.75">
      <c r="E3780" s="58" t="s">
        <v>346</v>
      </c>
      <c r="F3780" s="58"/>
      <c r="G3780" s="25"/>
      <c r="H3780" s="25"/>
      <c r="I3780" s="25"/>
    </row>
    <row r="3781" spans="4:9" ht="12.75">
      <c r="D3781" s="5" t="s">
        <v>772</v>
      </c>
      <c r="E3781" s="55" t="s">
        <v>773</v>
      </c>
      <c r="F3781" s="55"/>
      <c r="G3781" s="24">
        <v>4330000</v>
      </c>
      <c r="I3781" s="24">
        <f>G3781+H3781</f>
        <v>4330000</v>
      </c>
    </row>
    <row r="3782" spans="4:9" ht="13.5" thickBot="1">
      <c r="D3782" s="5" t="s">
        <v>784</v>
      </c>
      <c r="E3782" s="55" t="s">
        <v>785</v>
      </c>
      <c r="F3782" s="55"/>
      <c r="H3782" s="24">
        <f>SUM(H3768:H3781)</f>
        <v>622000</v>
      </c>
      <c r="I3782" s="24">
        <f>G3782+H3782</f>
        <v>622000</v>
      </c>
    </row>
    <row r="3783" spans="5:9" ht="13.5" thickBot="1">
      <c r="E3783" s="56" t="s">
        <v>347</v>
      </c>
      <c r="F3783" s="56"/>
      <c r="G3783" s="26">
        <f>SUM(G3781:G3782)</f>
        <v>4330000</v>
      </c>
      <c r="H3783" s="26">
        <f>SUM(H3781:H3782)</f>
        <v>622000</v>
      </c>
      <c r="I3783" s="26">
        <f>G3783+H3783</f>
        <v>4952000</v>
      </c>
    </row>
    <row r="3784" spans="5:9" ht="12.75">
      <c r="E3784" s="58" t="s">
        <v>601</v>
      </c>
      <c r="F3784" s="58"/>
      <c r="G3784" s="25"/>
      <c r="H3784" s="25"/>
      <c r="I3784" s="25"/>
    </row>
    <row r="3785" spans="4:9" ht="12.75">
      <c r="D3785" s="5" t="s">
        <v>772</v>
      </c>
      <c r="E3785" s="55" t="s">
        <v>773</v>
      </c>
      <c r="F3785" s="55"/>
      <c r="G3785" s="24">
        <v>4330000</v>
      </c>
      <c r="H3785" s="24">
        <v>0</v>
      </c>
      <c r="I3785" s="24">
        <f>G3785+H3785</f>
        <v>4330000</v>
      </c>
    </row>
    <row r="3786" spans="4:9" ht="13.5" thickBot="1">
      <c r="D3786" s="5" t="s">
        <v>784</v>
      </c>
      <c r="E3786" s="55" t="s">
        <v>785</v>
      </c>
      <c r="F3786" s="55"/>
      <c r="G3786" s="24">
        <v>0</v>
      </c>
      <c r="H3786" s="24">
        <f>+H3782</f>
        <v>622000</v>
      </c>
      <c r="I3786" s="24">
        <f>G3786+H3786</f>
        <v>622000</v>
      </c>
    </row>
    <row r="3787" spans="5:9" ht="13.5" thickBot="1">
      <c r="E3787" s="56" t="s">
        <v>602</v>
      </c>
      <c r="F3787" s="56"/>
      <c r="G3787" s="26">
        <f>SUM(G3785:G3786)</f>
        <v>4330000</v>
      </c>
      <c r="H3787" s="26">
        <f>SUM(H3785:H3786)</f>
        <v>622000</v>
      </c>
      <c r="I3787" s="26">
        <f>G3787+H3787</f>
        <v>4952000</v>
      </c>
    </row>
    <row r="3788" ht="7.5" customHeight="1"/>
    <row r="3789" spans="1:6" ht="12.75">
      <c r="A3789" s="8" t="s">
        <v>766</v>
      </c>
      <c r="B3789" s="9" t="s">
        <v>169</v>
      </c>
      <c r="C3789" s="8"/>
      <c r="D3789" s="9"/>
      <c r="E3789" s="57" t="s">
        <v>330</v>
      </c>
      <c r="F3789" s="57"/>
    </row>
    <row r="3790" spans="1:6" ht="12.75">
      <c r="A3790" s="8"/>
      <c r="B3790" s="9"/>
      <c r="C3790" s="8" t="s">
        <v>770</v>
      </c>
      <c r="D3790" s="9"/>
      <c r="E3790" s="57" t="s">
        <v>771</v>
      </c>
      <c r="F3790" s="57"/>
    </row>
    <row r="3791" spans="4:9" ht="12.75">
      <c r="D3791" s="5" t="s">
        <v>911</v>
      </c>
      <c r="E3791" s="55" t="s">
        <v>199</v>
      </c>
      <c r="F3791" s="55"/>
      <c r="G3791" s="24">
        <v>4033000</v>
      </c>
      <c r="H3791" s="24">
        <v>0</v>
      </c>
      <c r="I3791" s="24">
        <f aca="true" t="shared" si="182" ref="I3791:I3802">G3791+H3791</f>
        <v>4033000</v>
      </c>
    </row>
    <row r="3792" spans="4:9" ht="12.75">
      <c r="D3792" s="5" t="s">
        <v>912</v>
      </c>
      <c r="E3792" s="55" t="s">
        <v>877</v>
      </c>
      <c r="F3792" s="55"/>
      <c r="G3792" s="24">
        <v>722000</v>
      </c>
      <c r="H3792" s="24">
        <v>0</v>
      </c>
      <c r="I3792" s="24">
        <f t="shared" si="182"/>
        <v>722000</v>
      </c>
    </row>
    <row r="3793" spans="4:9" ht="12.75">
      <c r="D3793" s="5" t="s">
        <v>918</v>
      </c>
      <c r="E3793" s="55" t="s">
        <v>878</v>
      </c>
      <c r="F3793" s="55"/>
      <c r="G3793" s="24">
        <v>10000</v>
      </c>
      <c r="H3793" s="24">
        <v>0</v>
      </c>
      <c r="I3793" s="24">
        <f t="shared" si="182"/>
        <v>10000</v>
      </c>
    </row>
    <row r="3794" spans="4:9" ht="12.75">
      <c r="D3794" s="5" t="s">
        <v>921</v>
      </c>
      <c r="E3794" s="55" t="s">
        <v>880</v>
      </c>
      <c r="F3794" s="55"/>
      <c r="G3794" s="24">
        <v>20000</v>
      </c>
      <c r="H3794" s="24">
        <v>0</v>
      </c>
      <c r="I3794" s="24">
        <f t="shared" si="182"/>
        <v>20000</v>
      </c>
    </row>
    <row r="3795" spans="4:9" ht="12.75">
      <c r="D3795" s="5" t="s">
        <v>919</v>
      </c>
      <c r="E3795" s="55" t="s">
        <v>200</v>
      </c>
      <c r="F3795" s="55"/>
      <c r="G3795" s="24">
        <v>136000</v>
      </c>
      <c r="H3795" s="24">
        <v>0</v>
      </c>
      <c r="I3795" s="24">
        <f t="shared" si="182"/>
        <v>136000</v>
      </c>
    </row>
    <row r="3796" spans="4:9" ht="12.75">
      <c r="D3796" s="5" t="s">
        <v>913</v>
      </c>
      <c r="E3796" s="55" t="s">
        <v>881</v>
      </c>
      <c r="F3796" s="55"/>
      <c r="G3796" s="24">
        <v>2000000</v>
      </c>
      <c r="H3796" s="24">
        <v>92000</v>
      </c>
      <c r="I3796" s="24">
        <f t="shared" si="182"/>
        <v>2092000</v>
      </c>
    </row>
    <row r="3797" spans="4:9" ht="12.75">
      <c r="D3797" s="5" t="s">
        <v>915</v>
      </c>
      <c r="E3797" s="55" t="s">
        <v>879</v>
      </c>
      <c r="F3797" s="55"/>
      <c r="G3797" s="24">
        <v>45000</v>
      </c>
      <c r="H3797" s="24">
        <v>0</v>
      </c>
      <c r="I3797" s="24">
        <f t="shared" si="182"/>
        <v>45000</v>
      </c>
    </row>
    <row r="3798" spans="4:9" ht="12.75">
      <c r="D3798" s="5" t="s">
        <v>916</v>
      </c>
      <c r="E3798" s="55" t="s">
        <v>882</v>
      </c>
      <c r="F3798" s="55"/>
      <c r="G3798" s="24">
        <v>78000</v>
      </c>
      <c r="H3798" s="24">
        <v>25000</v>
      </c>
      <c r="I3798" s="24">
        <f t="shared" si="182"/>
        <v>103000</v>
      </c>
    </row>
    <row r="3799" spans="4:9" ht="12.75">
      <c r="D3799" s="5" t="s">
        <v>924</v>
      </c>
      <c r="E3799" s="55" t="s">
        <v>203</v>
      </c>
      <c r="F3799" s="55"/>
      <c r="G3799" s="24">
        <v>44000</v>
      </c>
      <c r="H3799" s="24">
        <v>51538.94</v>
      </c>
      <c r="I3799" s="24">
        <f t="shared" si="182"/>
        <v>95538.94</v>
      </c>
    </row>
    <row r="3800" spans="4:9" ht="12.75">
      <c r="D3800" s="5" t="s">
        <v>925</v>
      </c>
      <c r="E3800" s="55" t="s">
        <v>884</v>
      </c>
      <c r="F3800" s="55"/>
      <c r="G3800" s="24">
        <v>460000</v>
      </c>
      <c r="H3800" s="24">
        <v>75000</v>
      </c>
      <c r="I3800" s="24">
        <f t="shared" si="182"/>
        <v>535000</v>
      </c>
    </row>
    <row r="3801" spans="4:9" ht="12.75">
      <c r="D3801" s="5" t="s">
        <v>754</v>
      </c>
      <c r="E3801" s="55" t="s">
        <v>212</v>
      </c>
      <c r="F3801" s="55"/>
      <c r="G3801" s="24">
        <v>0</v>
      </c>
      <c r="H3801" s="24">
        <v>8000</v>
      </c>
      <c r="I3801" s="24">
        <f t="shared" si="182"/>
        <v>8000</v>
      </c>
    </row>
    <row r="3802" spans="4:9" ht="13.5" thickBot="1">
      <c r="D3802" s="5" t="s">
        <v>927</v>
      </c>
      <c r="E3802" s="55" t="s">
        <v>886</v>
      </c>
      <c r="F3802" s="55"/>
      <c r="G3802" s="24">
        <v>12000</v>
      </c>
      <c r="H3802" s="24">
        <v>0</v>
      </c>
      <c r="I3802" s="24">
        <f t="shared" si="182"/>
        <v>12000</v>
      </c>
    </row>
    <row r="3803" spans="5:9" ht="12.75">
      <c r="E3803" s="58" t="s">
        <v>346</v>
      </c>
      <c r="F3803" s="58"/>
      <c r="G3803" s="25"/>
      <c r="H3803" s="25"/>
      <c r="I3803" s="25"/>
    </row>
    <row r="3804" spans="4:9" ht="12.75">
      <c r="D3804" s="5" t="s">
        <v>772</v>
      </c>
      <c r="E3804" s="55" t="s">
        <v>773</v>
      </c>
      <c r="F3804" s="55"/>
      <c r="G3804" s="24">
        <v>7560000</v>
      </c>
      <c r="I3804" s="24">
        <f>G3804+H3804</f>
        <v>7560000</v>
      </c>
    </row>
    <row r="3805" spans="4:9" ht="13.5" thickBot="1">
      <c r="D3805" s="5" t="s">
        <v>784</v>
      </c>
      <c r="E3805" s="55" t="s">
        <v>785</v>
      </c>
      <c r="F3805" s="55"/>
      <c r="H3805" s="24">
        <f>SUM(H3791:H3804)</f>
        <v>251538.94</v>
      </c>
      <c r="I3805" s="24">
        <f>G3805+H3805</f>
        <v>251538.94</v>
      </c>
    </row>
    <row r="3806" spans="5:9" ht="13.5" thickBot="1">
      <c r="E3806" s="56" t="s">
        <v>347</v>
      </c>
      <c r="F3806" s="56"/>
      <c r="G3806" s="26">
        <f>SUM(G3804:G3805)</f>
        <v>7560000</v>
      </c>
      <c r="H3806" s="26">
        <f>SUM(H3804:H3805)</f>
        <v>251538.94</v>
      </c>
      <c r="I3806" s="26">
        <f>G3806+H3806</f>
        <v>7811538.94</v>
      </c>
    </row>
    <row r="3807" spans="5:9" ht="12.75">
      <c r="E3807" s="58" t="s">
        <v>603</v>
      </c>
      <c r="F3807" s="58"/>
      <c r="G3807" s="25"/>
      <c r="H3807" s="25"/>
      <c r="I3807" s="25"/>
    </row>
    <row r="3808" spans="4:9" ht="12.75">
      <c r="D3808" s="5" t="s">
        <v>772</v>
      </c>
      <c r="E3808" s="55" t="s">
        <v>773</v>
      </c>
      <c r="F3808" s="55"/>
      <c r="G3808" s="24">
        <v>7560000</v>
      </c>
      <c r="H3808" s="24">
        <v>0</v>
      </c>
      <c r="I3808" s="24">
        <f>G3808+H3808</f>
        <v>7560000</v>
      </c>
    </row>
    <row r="3809" spans="4:9" ht="13.5" thickBot="1">
      <c r="D3809" s="5" t="s">
        <v>784</v>
      </c>
      <c r="E3809" s="55" t="s">
        <v>785</v>
      </c>
      <c r="F3809" s="55"/>
      <c r="G3809" s="24">
        <v>0</v>
      </c>
      <c r="H3809" s="24">
        <f>+H3805</f>
        <v>251538.94</v>
      </c>
      <c r="I3809" s="24">
        <f>G3809+H3809</f>
        <v>251538.94</v>
      </c>
    </row>
    <row r="3810" spans="5:9" ht="13.5" thickBot="1">
      <c r="E3810" s="56" t="s">
        <v>604</v>
      </c>
      <c r="F3810" s="56"/>
      <c r="G3810" s="26">
        <f>SUM(G3808:G3809)</f>
        <v>7560000</v>
      </c>
      <c r="H3810" s="26">
        <f>SUM(H3808:H3809)</f>
        <v>251538.94</v>
      </c>
      <c r="I3810" s="26">
        <f>G3810+H3810</f>
        <v>7811538.94</v>
      </c>
    </row>
    <row r="3812" spans="1:6" ht="12.75">
      <c r="A3812" s="8" t="s">
        <v>766</v>
      </c>
      <c r="B3812" s="9" t="s">
        <v>170</v>
      </c>
      <c r="C3812" s="8"/>
      <c r="D3812" s="9"/>
      <c r="E3812" s="57" t="s">
        <v>331</v>
      </c>
      <c r="F3812" s="57"/>
    </row>
    <row r="3813" spans="1:6" ht="12.75">
      <c r="A3813" s="8"/>
      <c r="B3813" s="9"/>
      <c r="C3813" s="8" t="s">
        <v>770</v>
      </c>
      <c r="D3813" s="9"/>
      <c r="E3813" s="57" t="s">
        <v>771</v>
      </c>
      <c r="F3813" s="57"/>
    </row>
    <row r="3814" spans="4:9" ht="12.75">
      <c r="D3814" s="5" t="s">
        <v>911</v>
      </c>
      <c r="E3814" s="55" t="s">
        <v>199</v>
      </c>
      <c r="F3814" s="55"/>
      <c r="G3814" s="24">
        <v>2523000</v>
      </c>
      <c r="H3814" s="24">
        <v>0</v>
      </c>
      <c r="I3814" s="24">
        <f aca="true" t="shared" si="183" ref="I3814:I3825">G3814+H3814</f>
        <v>2523000</v>
      </c>
    </row>
    <row r="3815" spans="4:9" ht="12.75">
      <c r="D3815" s="5" t="s">
        <v>912</v>
      </c>
      <c r="E3815" s="55" t="s">
        <v>877</v>
      </c>
      <c r="F3815" s="55"/>
      <c r="G3815" s="24">
        <v>451000</v>
      </c>
      <c r="H3815" s="24">
        <v>0</v>
      </c>
      <c r="I3815" s="24">
        <f t="shared" si="183"/>
        <v>451000</v>
      </c>
    </row>
    <row r="3816" spans="4:9" ht="12.75">
      <c r="D3816" s="5" t="s">
        <v>918</v>
      </c>
      <c r="E3816" s="55" t="s">
        <v>878</v>
      </c>
      <c r="F3816" s="55"/>
      <c r="G3816" s="24">
        <v>10000</v>
      </c>
      <c r="H3816" s="24">
        <v>0</v>
      </c>
      <c r="I3816" s="24">
        <f t="shared" si="183"/>
        <v>10000</v>
      </c>
    </row>
    <row r="3817" spans="4:9" ht="12.75">
      <c r="D3817" s="5" t="s">
        <v>921</v>
      </c>
      <c r="E3817" s="55" t="s">
        <v>880</v>
      </c>
      <c r="F3817" s="55"/>
      <c r="G3817" s="24">
        <v>25000</v>
      </c>
      <c r="H3817" s="24">
        <v>0</v>
      </c>
      <c r="I3817" s="24">
        <f t="shared" si="183"/>
        <v>25000</v>
      </c>
    </row>
    <row r="3818" spans="4:9" ht="12.75">
      <c r="D3818" s="5" t="s">
        <v>919</v>
      </c>
      <c r="E3818" s="55" t="s">
        <v>200</v>
      </c>
      <c r="F3818" s="55"/>
      <c r="G3818" s="24">
        <v>75000</v>
      </c>
      <c r="H3818" s="24">
        <v>0</v>
      </c>
      <c r="I3818" s="24">
        <f t="shared" si="183"/>
        <v>75000</v>
      </c>
    </row>
    <row r="3819" spans="4:9" ht="12.75">
      <c r="D3819" s="5" t="s">
        <v>913</v>
      </c>
      <c r="E3819" s="55" t="s">
        <v>881</v>
      </c>
      <c r="F3819" s="55"/>
      <c r="G3819" s="24">
        <v>1000000</v>
      </c>
      <c r="H3819" s="24">
        <v>0</v>
      </c>
      <c r="I3819" s="24">
        <f t="shared" si="183"/>
        <v>1000000</v>
      </c>
    </row>
    <row r="3820" spans="4:9" ht="12.75">
      <c r="D3820" s="5" t="s">
        <v>915</v>
      </c>
      <c r="E3820" s="55" t="s">
        <v>879</v>
      </c>
      <c r="F3820" s="55"/>
      <c r="G3820" s="24">
        <v>45000</v>
      </c>
      <c r="H3820" s="24">
        <v>0</v>
      </c>
      <c r="I3820" s="24">
        <f t="shared" si="183"/>
        <v>45000</v>
      </c>
    </row>
    <row r="3821" spans="4:9" ht="12.75">
      <c r="D3821" s="5" t="s">
        <v>916</v>
      </c>
      <c r="E3821" s="55" t="s">
        <v>882</v>
      </c>
      <c r="F3821" s="55"/>
      <c r="G3821" s="24">
        <v>140000</v>
      </c>
      <c r="H3821" s="24">
        <v>0</v>
      </c>
      <c r="I3821" s="24">
        <f t="shared" si="183"/>
        <v>140000</v>
      </c>
    </row>
    <row r="3822" spans="4:9" ht="12.75">
      <c r="D3822" s="5" t="s">
        <v>924</v>
      </c>
      <c r="E3822" s="55" t="s">
        <v>203</v>
      </c>
      <c r="F3822" s="55"/>
      <c r="G3822" s="24">
        <v>190000</v>
      </c>
      <c r="H3822" s="24">
        <v>0</v>
      </c>
      <c r="I3822" s="24">
        <f t="shared" si="183"/>
        <v>190000</v>
      </c>
    </row>
    <row r="3823" spans="4:9" ht="12.75">
      <c r="D3823" s="5" t="s">
        <v>925</v>
      </c>
      <c r="E3823" s="55" t="s">
        <v>884</v>
      </c>
      <c r="F3823" s="55"/>
      <c r="G3823" s="24">
        <v>220000</v>
      </c>
      <c r="H3823" s="24">
        <v>0</v>
      </c>
      <c r="I3823" s="24">
        <f t="shared" si="183"/>
        <v>220000</v>
      </c>
    </row>
    <row r="3824" spans="4:9" ht="12.75">
      <c r="D3824" s="5" t="s">
        <v>754</v>
      </c>
      <c r="E3824" s="55" t="s">
        <v>212</v>
      </c>
      <c r="F3824" s="55"/>
      <c r="G3824" s="24">
        <v>24000</v>
      </c>
      <c r="H3824" s="24">
        <v>0</v>
      </c>
      <c r="I3824" s="24">
        <f t="shared" si="183"/>
        <v>24000</v>
      </c>
    </row>
    <row r="3825" spans="4:9" ht="13.5" thickBot="1">
      <c r="D3825" s="5" t="s">
        <v>927</v>
      </c>
      <c r="E3825" s="55" t="s">
        <v>886</v>
      </c>
      <c r="F3825" s="55"/>
      <c r="G3825" s="24">
        <v>23000</v>
      </c>
      <c r="H3825" s="24">
        <v>100000</v>
      </c>
      <c r="I3825" s="24">
        <f t="shared" si="183"/>
        <v>123000</v>
      </c>
    </row>
    <row r="3826" spans="5:9" ht="12.75">
      <c r="E3826" s="58" t="s">
        <v>346</v>
      </c>
      <c r="F3826" s="58"/>
      <c r="G3826" s="25"/>
      <c r="H3826" s="25"/>
      <c r="I3826" s="25"/>
    </row>
    <row r="3827" spans="4:9" ht="12.75">
      <c r="D3827" s="5" t="s">
        <v>772</v>
      </c>
      <c r="E3827" s="55" t="s">
        <v>773</v>
      </c>
      <c r="F3827" s="55"/>
      <c r="G3827" s="24">
        <v>4726000</v>
      </c>
      <c r="I3827" s="24">
        <f>G3827+H3827</f>
        <v>4726000</v>
      </c>
    </row>
    <row r="3828" spans="4:9" ht="13.5" thickBot="1">
      <c r="D3828" s="5" t="s">
        <v>784</v>
      </c>
      <c r="E3828" s="55" t="s">
        <v>785</v>
      </c>
      <c r="F3828" s="55"/>
      <c r="H3828" s="24">
        <v>100000</v>
      </c>
      <c r="I3828" s="24">
        <f>G3828+H3828</f>
        <v>100000</v>
      </c>
    </row>
    <row r="3829" spans="5:9" ht="13.5" thickBot="1">
      <c r="E3829" s="56" t="s">
        <v>347</v>
      </c>
      <c r="F3829" s="56"/>
      <c r="G3829" s="26">
        <f>SUM(G3827:G3828)</f>
        <v>4726000</v>
      </c>
      <c r="H3829" s="26">
        <f>SUM(H3827:H3828)</f>
        <v>100000</v>
      </c>
      <c r="I3829" s="26">
        <f>G3829+H3829</f>
        <v>4826000</v>
      </c>
    </row>
    <row r="3830" spans="5:9" ht="12.75">
      <c r="E3830" s="58" t="s">
        <v>605</v>
      </c>
      <c r="F3830" s="58"/>
      <c r="G3830" s="25"/>
      <c r="H3830" s="25"/>
      <c r="I3830" s="25"/>
    </row>
    <row r="3831" spans="4:9" ht="12.75">
      <c r="D3831" s="5" t="s">
        <v>772</v>
      </c>
      <c r="E3831" s="55" t="s">
        <v>773</v>
      </c>
      <c r="F3831" s="55"/>
      <c r="G3831" s="24">
        <v>4726000</v>
      </c>
      <c r="H3831" s="24">
        <v>0</v>
      </c>
      <c r="I3831" s="24">
        <f>G3831+H3831</f>
        <v>4726000</v>
      </c>
    </row>
    <row r="3832" spans="4:9" ht="13.5" thickBot="1">
      <c r="D3832" s="5" t="s">
        <v>784</v>
      </c>
      <c r="E3832" s="55" t="s">
        <v>785</v>
      </c>
      <c r="F3832" s="55"/>
      <c r="G3832" s="24">
        <v>0</v>
      </c>
      <c r="H3832" s="24">
        <v>100000</v>
      </c>
      <c r="I3832" s="24">
        <f>G3832+H3832</f>
        <v>100000</v>
      </c>
    </row>
    <row r="3833" spans="5:9" ht="13.5" thickBot="1">
      <c r="E3833" s="56" t="s">
        <v>606</v>
      </c>
      <c r="F3833" s="56"/>
      <c r="G3833" s="26">
        <f>SUM(G3831:G3832)</f>
        <v>4726000</v>
      </c>
      <c r="H3833" s="26">
        <f>SUM(H3831:H3832)</f>
        <v>100000</v>
      </c>
      <c r="I3833" s="26">
        <f>G3833+H3833</f>
        <v>4826000</v>
      </c>
    </row>
    <row r="3835" spans="1:6" ht="12.75">
      <c r="A3835" s="8" t="s">
        <v>766</v>
      </c>
      <c r="B3835" s="9" t="s">
        <v>171</v>
      </c>
      <c r="C3835" s="8"/>
      <c r="D3835" s="9"/>
      <c r="E3835" s="57" t="s">
        <v>332</v>
      </c>
      <c r="F3835" s="57"/>
    </row>
    <row r="3836" spans="1:6" ht="12.75">
      <c r="A3836" s="8"/>
      <c r="B3836" s="9"/>
      <c r="C3836" s="8" t="s">
        <v>770</v>
      </c>
      <c r="D3836" s="9"/>
      <c r="E3836" s="57" t="s">
        <v>771</v>
      </c>
      <c r="F3836" s="57"/>
    </row>
    <row r="3837" spans="4:9" ht="12.75">
      <c r="D3837" s="5" t="s">
        <v>911</v>
      </c>
      <c r="E3837" s="55" t="s">
        <v>199</v>
      </c>
      <c r="F3837" s="55"/>
      <c r="G3837" s="24">
        <v>4383000</v>
      </c>
      <c r="H3837" s="24">
        <v>0</v>
      </c>
      <c r="I3837" s="24">
        <f aca="true" t="shared" si="184" ref="I3837:I3849">G3837+H3837</f>
        <v>4383000</v>
      </c>
    </row>
    <row r="3838" spans="4:9" ht="12.75">
      <c r="D3838" s="5" t="s">
        <v>912</v>
      </c>
      <c r="E3838" s="55" t="s">
        <v>877</v>
      </c>
      <c r="F3838" s="55"/>
      <c r="G3838" s="24">
        <v>784000</v>
      </c>
      <c r="H3838" s="24">
        <v>0</v>
      </c>
      <c r="I3838" s="24">
        <f t="shared" si="184"/>
        <v>784000</v>
      </c>
    </row>
    <row r="3839" spans="4:9" ht="12.75">
      <c r="D3839" s="5" t="s">
        <v>918</v>
      </c>
      <c r="E3839" s="55" t="s">
        <v>878</v>
      </c>
      <c r="F3839" s="55"/>
      <c r="G3839" s="24">
        <v>10000</v>
      </c>
      <c r="H3839" s="24">
        <v>6000</v>
      </c>
      <c r="I3839" s="24">
        <f t="shared" si="184"/>
        <v>16000</v>
      </c>
    </row>
    <row r="3840" spans="4:9" ht="12.75">
      <c r="D3840" s="5" t="s">
        <v>921</v>
      </c>
      <c r="E3840" s="55" t="s">
        <v>880</v>
      </c>
      <c r="F3840" s="55"/>
      <c r="G3840" s="24">
        <v>50000</v>
      </c>
      <c r="H3840" s="24">
        <v>0</v>
      </c>
      <c r="I3840" s="24">
        <f t="shared" si="184"/>
        <v>50000</v>
      </c>
    </row>
    <row r="3841" spans="4:9" ht="12.75">
      <c r="D3841" s="5" t="s">
        <v>919</v>
      </c>
      <c r="E3841" s="55" t="s">
        <v>200</v>
      </c>
      <c r="F3841" s="55"/>
      <c r="G3841" s="24">
        <v>160000</v>
      </c>
      <c r="H3841" s="24">
        <v>28000</v>
      </c>
      <c r="I3841" s="24">
        <f t="shared" si="184"/>
        <v>188000</v>
      </c>
    </row>
    <row r="3842" spans="4:9" ht="12.75">
      <c r="D3842" s="5" t="s">
        <v>922</v>
      </c>
      <c r="E3842" s="55" t="s">
        <v>201</v>
      </c>
      <c r="F3842" s="55"/>
      <c r="G3842" s="24">
        <v>0</v>
      </c>
      <c r="H3842" s="24">
        <v>12000</v>
      </c>
      <c r="I3842" s="24">
        <f t="shared" si="184"/>
        <v>12000</v>
      </c>
    </row>
    <row r="3843" spans="4:9" ht="12.75">
      <c r="D3843" s="5" t="s">
        <v>913</v>
      </c>
      <c r="E3843" s="55" t="s">
        <v>881</v>
      </c>
      <c r="F3843" s="55"/>
      <c r="G3843" s="24">
        <v>1800000</v>
      </c>
      <c r="H3843" s="24">
        <v>58500</v>
      </c>
      <c r="I3843" s="24">
        <f t="shared" si="184"/>
        <v>1858500</v>
      </c>
    </row>
    <row r="3844" spans="4:9" ht="12.75">
      <c r="D3844" s="5" t="s">
        <v>915</v>
      </c>
      <c r="E3844" s="55" t="s">
        <v>879</v>
      </c>
      <c r="F3844" s="55"/>
      <c r="G3844" s="24">
        <v>31000</v>
      </c>
      <c r="H3844" s="24">
        <v>71733.02</v>
      </c>
      <c r="I3844" s="24">
        <f t="shared" si="184"/>
        <v>102733.02</v>
      </c>
    </row>
    <row r="3845" spans="4:9" ht="12.75">
      <c r="D3845" s="5" t="s">
        <v>916</v>
      </c>
      <c r="E3845" s="55" t="s">
        <v>882</v>
      </c>
      <c r="F3845" s="55"/>
      <c r="G3845" s="24">
        <v>158000</v>
      </c>
      <c r="H3845" s="24">
        <v>224500</v>
      </c>
      <c r="I3845" s="24">
        <f t="shared" si="184"/>
        <v>382500</v>
      </c>
    </row>
    <row r="3846" spans="4:9" ht="12.75">
      <c r="D3846" s="5" t="s">
        <v>924</v>
      </c>
      <c r="E3846" s="55" t="s">
        <v>203</v>
      </c>
      <c r="F3846" s="55"/>
      <c r="G3846" s="24">
        <v>0</v>
      </c>
      <c r="H3846" s="24">
        <v>62000</v>
      </c>
      <c r="I3846" s="24">
        <f t="shared" si="184"/>
        <v>62000</v>
      </c>
    </row>
    <row r="3847" spans="4:9" ht="12.75">
      <c r="D3847" s="5" t="s">
        <v>925</v>
      </c>
      <c r="E3847" s="55" t="s">
        <v>884</v>
      </c>
      <c r="F3847" s="55"/>
      <c r="G3847" s="24">
        <v>400000</v>
      </c>
      <c r="H3847" s="24">
        <v>100000</v>
      </c>
      <c r="I3847" s="24">
        <f t="shared" si="184"/>
        <v>500000</v>
      </c>
    </row>
    <row r="3848" spans="4:9" ht="12.75">
      <c r="D3848" s="5" t="s">
        <v>754</v>
      </c>
      <c r="E3848" s="55" t="s">
        <v>212</v>
      </c>
      <c r="F3848" s="55"/>
      <c r="G3848" s="24">
        <v>10000</v>
      </c>
      <c r="H3848" s="24">
        <v>12000</v>
      </c>
      <c r="I3848" s="24">
        <f t="shared" si="184"/>
        <v>22000</v>
      </c>
    </row>
    <row r="3849" spans="4:9" ht="13.5" thickBot="1">
      <c r="D3849" s="5" t="s">
        <v>927</v>
      </c>
      <c r="E3849" s="55" t="s">
        <v>886</v>
      </c>
      <c r="F3849" s="55"/>
      <c r="G3849" s="24">
        <v>46000</v>
      </c>
      <c r="H3849" s="24">
        <v>75000</v>
      </c>
      <c r="I3849" s="24">
        <f t="shared" si="184"/>
        <v>121000</v>
      </c>
    </row>
    <row r="3850" spans="5:9" ht="12.75">
      <c r="E3850" s="58" t="s">
        <v>346</v>
      </c>
      <c r="F3850" s="58"/>
      <c r="G3850" s="25"/>
      <c r="H3850" s="25"/>
      <c r="I3850" s="25"/>
    </row>
    <row r="3851" spans="4:9" ht="12.75">
      <c r="D3851" s="5" t="s">
        <v>772</v>
      </c>
      <c r="E3851" s="55" t="s">
        <v>773</v>
      </c>
      <c r="F3851" s="55"/>
      <c r="G3851" s="24">
        <v>7832000</v>
      </c>
      <c r="I3851" s="24">
        <f>G3851+H3851</f>
        <v>7832000</v>
      </c>
    </row>
    <row r="3852" spans="4:9" ht="12.75">
      <c r="D3852" s="5" t="s">
        <v>784</v>
      </c>
      <c r="E3852" s="55" t="s">
        <v>785</v>
      </c>
      <c r="F3852" s="55"/>
      <c r="H3852" s="24">
        <v>623000</v>
      </c>
      <c r="I3852" s="24">
        <f>G3852+H3852</f>
        <v>623000</v>
      </c>
    </row>
    <row r="3853" spans="4:9" ht="13.5" thickBot="1">
      <c r="D3853" s="5" t="s">
        <v>825</v>
      </c>
      <c r="E3853" s="55" t="s">
        <v>905</v>
      </c>
      <c r="F3853" s="55"/>
      <c r="H3853" s="24">
        <v>26733.02</v>
      </c>
      <c r="I3853" s="24">
        <f>G3853+H3853</f>
        <v>26733.02</v>
      </c>
    </row>
    <row r="3854" spans="5:9" ht="13.5" thickBot="1">
      <c r="E3854" s="56" t="s">
        <v>347</v>
      </c>
      <c r="F3854" s="56"/>
      <c r="G3854" s="26">
        <f>SUM(G3851:G3853)</f>
        <v>7832000</v>
      </c>
      <c r="H3854" s="26">
        <f>SUM(H3851:H3853)</f>
        <v>649733.02</v>
      </c>
      <c r="I3854" s="26">
        <f>G3854+H3854</f>
        <v>8481733.02</v>
      </c>
    </row>
    <row r="3855" spans="5:9" ht="12.75">
      <c r="E3855" s="58" t="s">
        <v>607</v>
      </c>
      <c r="F3855" s="58"/>
      <c r="G3855" s="25"/>
      <c r="H3855" s="25"/>
      <c r="I3855" s="25"/>
    </row>
    <row r="3856" spans="4:9" ht="12.75">
      <c r="D3856" s="5" t="s">
        <v>772</v>
      </c>
      <c r="E3856" s="55" t="s">
        <v>773</v>
      </c>
      <c r="F3856" s="55"/>
      <c r="G3856" s="24">
        <v>7832000</v>
      </c>
      <c r="H3856" s="24">
        <v>0</v>
      </c>
      <c r="I3856" s="24">
        <f>G3856+H3856</f>
        <v>7832000</v>
      </c>
    </row>
    <row r="3857" spans="4:9" ht="12.75">
      <c r="D3857" s="5" t="s">
        <v>784</v>
      </c>
      <c r="E3857" s="55" t="s">
        <v>785</v>
      </c>
      <c r="F3857" s="55"/>
      <c r="G3857" s="24">
        <v>0</v>
      </c>
      <c r="H3857" s="24">
        <v>623000</v>
      </c>
      <c r="I3857" s="24">
        <f>G3857+H3857</f>
        <v>623000</v>
      </c>
    </row>
    <row r="3858" spans="4:9" ht="13.5" thickBot="1">
      <c r="D3858" s="5" t="s">
        <v>825</v>
      </c>
      <c r="E3858" s="55" t="s">
        <v>905</v>
      </c>
      <c r="F3858" s="55"/>
      <c r="G3858" s="24">
        <v>0</v>
      </c>
      <c r="H3858" s="24">
        <v>26733.02</v>
      </c>
      <c r="I3858" s="24">
        <f>G3858+H3858</f>
        <v>26733.02</v>
      </c>
    </row>
    <row r="3859" spans="5:9" ht="13.5" thickBot="1">
      <c r="E3859" s="56" t="s">
        <v>608</v>
      </c>
      <c r="F3859" s="56"/>
      <c r="G3859" s="26">
        <f>SUM(G3856:G3858)</f>
        <v>7832000</v>
      </c>
      <c r="H3859" s="26">
        <f>SUM(H3856:H3858)</f>
        <v>649733.02</v>
      </c>
      <c r="I3859" s="26">
        <f>G3859+H3859</f>
        <v>8481733.02</v>
      </c>
    </row>
    <row r="3861" spans="1:6" ht="12.75">
      <c r="A3861" s="8" t="s">
        <v>766</v>
      </c>
      <c r="B3861" s="9" t="s">
        <v>172</v>
      </c>
      <c r="C3861" s="8"/>
      <c r="D3861" s="9"/>
      <c r="E3861" s="57" t="s">
        <v>333</v>
      </c>
      <c r="F3861" s="57"/>
    </row>
    <row r="3862" spans="1:6" ht="12.75">
      <c r="A3862" s="8"/>
      <c r="B3862" s="9"/>
      <c r="C3862" s="8" t="s">
        <v>770</v>
      </c>
      <c r="D3862" s="9"/>
      <c r="E3862" s="57" t="s">
        <v>771</v>
      </c>
      <c r="F3862" s="57"/>
    </row>
    <row r="3863" spans="4:9" ht="12.75">
      <c r="D3863" s="5" t="s">
        <v>911</v>
      </c>
      <c r="E3863" s="55" t="s">
        <v>199</v>
      </c>
      <c r="F3863" s="55"/>
      <c r="G3863" s="24">
        <v>2808000</v>
      </c>
      <c r="H3863" s="24">
        <v>0</v>
      </c>
      <c r="I3863" s="24">
        <f aca="true" t="shared" si="185" ref="I3863:I3872">G3863+H3863</f>
        <v>2808000</v>
      </c>
    </row>
    <row r="3864" spans="4:9" ht="12.75">
      <c r="D3864" s="5" t="s">
        <v>912</v>
      </c>
      <c r="E3864" s="55" t="s">
        <v>877</v>
      </c>
      <c r="F3864" s="55"/>
      <c r="G3864" s="24">
        <v>502000</v>
      </c>
      <c r="H3864" s="24">
        <v>0</v>
      </c>
      <c r="I3864" s="24">
        <f t="shared" si="185"/>
        <v>502000</v>
      </c>
    </row>
    <row r="3865" spans="4:9" ht="12.75">
      <c r="D3865" s="5" t="s">
        <v>921</v>
      </c>
      <c r="E3865" s="55" t="s">
        <v>880</v>
      </c>
      <c r="F3865" s="55"/>
      <c r="G3865" s="24">
        <v>30000</v>
      </c>
      <c r="H3865" s="24">
        <v>10000</v>
      </c>
      <c r="I3865" s="24">
        <f t="shared" si="185"/>
        <v>40000</v>
      </c>
    </row>
    <row r="3866" spans="4:9" ht="12.75">
      <c r="D3866" s="5" t="s">
        <v>919</v>
      </c>
      <c r="E3866" s="55" t="s">
        <v>200</v>
      </c>
      <c r="F3866" s="55"/>
      <c r="G3866" s="24">
        <v>65000</v>
      </c>
      <c r="H3866" s="24">
        <v>10000</v>
      </c>
      <c r="I3866" s="24">
        <f t="shared" si="185"/>
        <v>75000</v>
      </c>
    </row>
    <row r="3867" spans="4:9" ht="12.75">
      <c r="D3867" s="5" t="s">
        <v>913</v>
      </c>
      <c r="E3867" s="55" t="s">
        <v>881</v>
      </c>
      <c r="F3867" s="55"/>
      <c r="G3867" s="24">
        <v>350000</v>
      </c>
      <c r="H3867" s="24">
        <v>8000</v>
      </c>
      <c r="I3867" s="24">
        <f t="shared" si="185"/>
        <v>358000</v>
      </c>
    </row>
    <row r="3868" spans="4:9" ht="12.75">
      <c r="D3868" s="5" t="s">
        <v>915</v>
      </c>
      <c r="E3868" s="55" t="s">
        <v>879</v>
      </c>
      <c r="F3868" s="55"/>
      <c r="G3868" s="24">
        <v>35000</v>
      </c>
      <c r="H3868" s="24">
        <v>28000</v>
      </c>
      <c r="I3868" s="24">
        <f t="shared" si="185"/>
        <v>63000</v>
      </c>
    </row>
    <row r="3869" spans="4:9" ht="12.75">
      <c r="D3869" s="5" t="s">
        <v>916</v>
      </c>
      <c r="E3869" s="55" t="s">
        <v>882</v>
      </c>
      <c r="F3869" s="55"/>
      <c r="G3869" s="24">
        <v>116000</v>
      </c>
      <c r="H3869" s="24">
        <v>22000</v>
      </c>
      <c r="I3869" s="24">
        <f t="shared" si="185"/>
        <v>138000</v>
      </c>
    </row>
    <row r="3870" spans="4:9" ht="12.75">
      <c r="D3870" s="5" t="s">
        <v>924</v>
      </c>
      <c r="E3870" s="55" t="s">
        <v>203</v>
      </c>
      <c r="F3870" s="55"/>
      <c r="G3870" s="24">
        <v>40000</v>
      </c>
      <c r="H3870" s="24">
        <v>46700</v>
      </c>
      <c r="I3870" s="24">
        <f t="shared" si="185"/>
        <v>86700</v>
      </c>
    </row>
    <row r="3871" spans="4:9" ht="12.75">
      <c r="D3871" s="5" t="s">
        <v>925</v>
      </c>
      <c r="E3871" s="55" t="s">
        <v>884</v>
      </c>
      <c r="F3871" s="55"/>
      <c r="G3871" s="24">
        <v>150000</v>
      </c>
      <c r="H3871" s="24">
        <v>40695</v>
      </c>
      <c r="I3871" s="24">
        <f t="shared" si="185"/>
        <v>190695</v>
      </c>
    </row>
    <row r="3872" spans="4:9" ht="13.5" thickBot="1">
      <c r="D3872" s="5" t="s">
        <v>927</v>
      </c>
      <c r="E3872" s="55" t="s">
        <v>886</v>
      </c>
      <c r="F3872" s="55"/>
      <c r="G3872" s="24">
        <v>48000</v>
      </c>
      <c r="H3872" s="24">
        <v>15000</v>
      </c>
      <c r="I3872" s="24">
        <f t="shared" si="185"/>
        <v>63000</v>
      </c>
    </row>
    <row r="3873" spans="5:9" ht="12.75">
      <c r="E3873" s="58" t="s">
        <v>346</v>
      </c>
      <c r="F3873" s="58"/>
      <c r="G3873" s="25"/>
      <c r="H3873" s="25"/>
      <c r="I3873" s="25"/>
    </row>
    <row r="3874" spans="4:9" ht="12.75">
      <c r="D3874" s="5" t="s">
        <v>772</v>
      </c>
      <c r="E3874" s="55" t="s">
        <v>773</v>
      </c>
      <c r="F3874" s="55"/>
      <c r="G3874" s="24">
        <v>4144000</v>
      </c>
      <c r="I3874" s="24">
        <f>G3874+H3874</f>
        <v>4144000</v>
      </c>
    </row>
    <row r="3875" spans="4:9" ht="12.75">
      <c r="D3875" s="5" t="s">
        <v>784</v>
      </c>
      <c r="E3875" s="55" t="s">
        <v>785</v>
      </c>
      <c r="F3875" s="55"/>
      <c r="H3875" s="24">
        <v>90000</v>
      </c>
      <c r="I3875" s="24">
        <f>G3875+H3875</f>
        <v>90000</v>
      </c>
    </row>
    <row r="3876" spans="4:9" ht="13.5" thickBot="1">
      <c r="D3876" s="5" t="s">
        <v>825</v>
      </c>
      <c r="E3876" s="54" t="s">
        <v>905</v>
      </c>
      <c r="F3876" s="54"/>
      <c r="H3876" s="24">
        <v>90395</v>
      </c>
      <c r="I3876" s="24">
        <f>G3876+H3876</f>
        <v>90395</v>
      </c>
    </row>
    <row r="3877" spans="5:9" ht="13.5" thickBot="1">
      <c r="E3877" s="56" t="s">
        <v>347</v>
      </c>
      <c r="F3877" s="56"/>
      <c r="G3877" s="26">
        <f>SUM(G3874:G3875)</f>
        <v>4144000</v>
      </c>
      <c r="H3877" s="26">
        <f>SUM(H3875:H3876)</f>
        <v>180395</v>
      </c>
      <c r="I3877" s="26">
        <f>G3877+H3877</f>
        <v>4324395</v>
      </c>
    </row>
    <row r="3878" spans="5:9" ht="12.75">
      <c r="E3878" s="58" t="s">
        <v>609</v>
      </c>
      <c r="F3878" s="58"/>
      <c r="G3878" s="25"/>
      <c r="H3878" s="25"/>
      <c r="I3878" s="25"/>
    </row>
    <row r="3879" spans="4:9" ht="12.75">
      <c r="D3879" s="5" t="s">
        <v>772</v>
      </c>
      <c r="E3879" s="55" t="s">
        <v>773</v>
      </c>
      <c r="F3879" s="55"/>
      <c r="G3879" s="24">
        <v>4144000</v>
      </c>
      <c r="H3879" s="24">
        <v>0</v>
      </c>
      <c r="I3879" s="24">
        <f>G3879+H3879</f>
        <v>4144000</v>
      </c>
    </row>
    <row r="3880" spans="4:9" ht="12.75">
      <c r="D3880" s="5" t="s">
        <v>784</v>
      </c>
      <c r="E3880" s="55" t="s">
        <v>785</v>
      </c>
      <c r="F3880" s="55"/>
      <c r="G3880" s="24">
        <v>0</v>
      </c>
      <c r="H3880" s="24">
        <v>90000</v>
      </c>
      <c r="I3880" s="24">
        <f>G3880+H3880</f>
        <v>90000</v>
      </c>
    </row>
    <row r="3881" spans="4:9" ht="13.5" thickBot="1">
      <c r="D3881" s="5" t="s">
        <v>825</v>
      </c>
      <c r="E3881" s="54" t="s">
        <v>905</v>
      </c>
      <c r="F3881" s="54"/>
      <c r="H3881" s="24">
        <v>90395</v>
      </c>
      <c r="I3881" s="24">
        <f>G3881+H3881</f>
        <v>90395</v>
      </c>
    </row>
    <row r="3882" spans="5:9" ht="13.5" thickBot="1">
      <c r="E3882" s="56" t="s">
        <v>610</v>
      </c>
      <c r="F3882" s="56"/>
      <c r="G3882" s="26">
        <f>SUM(G3879:G3880)</f>
        <v>4144000</v>
      </c>
      <c r="H3882" s="26">
        <f>SUM(H3879:H3881)</f>
        <v>180395</v>
      </c>
      <c r="I3882" s="26">
        <f>G3882+H3882</f>
        <v>4324395</v>
      </c>
    </row>
    <row r="3884" spans="1:6" ht="12.75">
      <c r="A3884" s="8" t="s">
        <v>766</v>
      </c>
      <c r="B3884" s="9" t="s">
        <v>173</v>
      </c>
      <c r="C3884" s="8"/>
      <c r="D3884" s="9"/>
      <c r="E3884" s="57" t="s">
        <v>334</v>
      </c>
      <c r="F3884" s="57"/>
    </row>
    <row r="3885" spans="1:6" ht="12.75">
      <c r="A3885" s="8"/>
      <c r="B3885" s="9"/>
      <c r="C3885" s="8" t="s">
        <v>770</v>
      </c>
      <c r="D3885" s="9"/>
      <c r="E3885" s="57" t="s">
        <v>771</v>
      </c>
      <c r="F3885" s="57"/>
    </row>
    <row r="3886" spans="4:9" ht="12.75">
      <c r="D3886" s="5" t="s">
        <v>911</v>
      </c>
      <c r="E3886" s="55" t="s">
        <v>199</v>
      </c>
      <c r="F3886" s="55"/>
      <c r="G3886" s="24">
        <v>2263000</v>
      </c>
      <c r="H3886" s="24">
        <v>0</v>
      </c>
      <c r="I3886" s="24">
        <f aca="true" t="shared" si="186" ref="I3886:I3897">G3886+H3886</f>
        <v>2263000</v>
      </c>
    </row>
    <row r="3887" spans="4:9" ht="12.75">
      <c r="D3887" s="5" t="s">
        <v>912</v>
      </c>
      <c r="E3887" s="55" t="s">
        <v>877</v>
      </c>
      <c r="F3887" s="55"/>
      <c r="G3887" s="24">
        <v>405000</v>
      </c>
      <c r="H3887" s="24">
        <v>0</v>
      </c>
      <c r="I3887" s="24">
        <f t="shared" si="186"/>
        <v>405000</v>
      </c>
    </row>
    <row r="3888" spans="4:9" ht="12.75">
      <c r="D3888" s="5" t="s">
        <v>918</v>
      </c>
      <c r="E3888" s="55" t="s">
        <v>878</v>
      </c>
      <c r="F3888" s="55"/>
      <c r="G3888" s="24">
        <v>15000</v>
      </c>
      <c r="H3888" s="24">
        <v>2000</v>
      </c>
      <c r="I3888" s="24">
        <f t="shared" si="186"/>
        <v>17000</v>
      </c>
    </row>
    <row r="3889" spans="4:9" ht="12.75">
      <c r="D3889" s="5" t="s">
        <v>921</v>
      </c>
      <c r="E3889" s="55" t="s">
        <v>880</v>
      </c>
      <c r="F3889" s="55"/>
      <c r="G3889" s="24">
        <v>10000</v>
      </c>
      <c r="H3889" s="24">
        <v>2000</v>
      </c>
      <c r="I3889" s="24">
        <f t="shared" si="186"/>
        <v>12000</v>
      </c>
    </row>
    <row r="3890" spans="4:9" ht="12.75">
      <c r="D3890" s="5" t="s">
        <v>919</v>
      </c>
      <c r="E3890" s="55" t="s">
        <v>200</v>
      </c>
      <c r="F3890" s="55"/>
      <c r="G3890" s="24">
        <v>62000</v>
      </c>
      <c r="H3890" s="24">
        <v>0</v>
      </c>
      <c r="I3890" s="24">
        <f t="shared" si="186"/>
        <v>62000</v>
      </c>
    </row>
    <row r="3891" spans="4:9" ht="12.75">
      <c r="D3891" s="5" t="s">
        <v>922</v>
      </c>
      <c r="E3891" s="55" t="s">
        <v>201</v>
      </c>
      <c r="F3891" s="55"/>
      <c r="G3891" s="24">
        <v>0</v>
      </c>
      <c r="H3891" s="24">
        <v>5000</v>
      </c>
      <c r="I3891" s="24">
        <f t="shared" si="186"/>
        <v>5000</v>
      </c>
    </row>
    <row r="3892" spans="4:9" ht="12.75">
      <c r="D3892" s="5" t="s">
        <v>913</v>
      </c>
      <c r="E3892" s="55" t="s">
        <v>881</v>
      </c>
      <c r="F3892" s="55"/>
      <c r="G3892" s="24">
        <v>350000</v>
      </c>
      <c r="H3892" s="24">
        <v>12000</v>
      </c>
      <c r="I3892" s="24">
        <f t="shared" si="186"/>
        <v>362000</v>
      </c>
    </row>
    <row r="3893" spans="4:9" ht="12.75">
      <c r="D3893" s="5" t="s">
        <v>915</v>
      </c>
      <c r="E3893" s="55" t="s">
        <v>879</v>
      </c>
      <c r="F3893" s="55"/>
      <c r="G3893" s="24">
        <v>49000</v>
      </c>
      <c r="H3893" s="24">
        <v>12000</v>
      </c>
      <c r="I3893" s="24">
        <f t="shared" si="186"/>
        <v>61000</v>
      </c>
    </row>
    <row r="3894" spans="4:9" ht="12.75">
      <c r="D3894" s="5" t="s">
        <v>916</v>
      </c>
      <c r="E3894" s="55" t="s">
        <v>882</v>
      </c>
      <c r="F3894" s="55"/>
      <c r="G3894" s="24">
        <v>58000</v>
      </c>
      <c r="H3894" s="24">
        <v>72000</v>
      </c>
      <c r="I3894" s="24">
        <f t="shared" si="186"/>
        <v>130000</v>
      </c>
    </row>
    <row r="3895" spans="4:9" ht="12.75">
      <c r="D3895" s="5" t="s">
        <v>924</v>
      </c>
      <c r="E3895" s="55" t="s">
        <v>203</v>
      </c>
      <c r="F3895" s="55"/>
      <c r="G3895" s="24">
        <v>40000</v>
      </c>
      <c r="H3895" s="24">
        <v>20000</v>
      </c>
      <c r="I3895" s="24">
        <f t="shared" si="186"/>
        <v>60000</v>
      </c>
    </row>
    <row r="3896" spans="4:9" ht="12.75">
      <c r="D3896" s="5" t="s">
        <v>925</v>
      </c>
      <c r="E3896" s="55" t="s">
        <v>884</v>
      </c>
      <c r="F3896" s="55"/>
      <c r="G3896" s="24">
        <v>210000</v>
      </c>
      <c r="H3896" s="24">
        <v>93078.16</v>
      </c>
      <c r="I3896" s="24">
        <f t="shared" si="186"/>
        <v>303078.16000000003</v>
      </c>
    </row>
    <row r="3897" spans="4:9" ht="13.5" thickBot="1">
      <c r="D3897" s="5" t="s">
        <v>927</v>
      </c>
      <c r="E3897" s="55" t="s">
        <v>886</v>
      </c>
      <c r="F3897" s="55"/>
      <c r="G3897" s="24">
        <v>23000</v>
      </c>
      <c r="H3897" s="24">
        <v>0</v>
      </c>
      <c r="I3897" s="24">
        <f t="shared" si="186"/>
        <v>23000</v>
      </c>
    </row>
    <row r="3898" spans="5:9" ht="12.75">
      <c r="E3898" s="58" t="s">
        <v>346</v>
      </c>
      <c r="F3898" s="58"/>
      <c r="G3898" s="25"/>
      <c r="H3898" s="25"/>
      <c r="I3898" s="25"/>
    </row>
    <row r="3899" spans="4:9" ht="12.75">
      <c r="D3899" s="5" t="s">
        <v>772</v>
      </c>
      <c r="E3899" s="55" t="s">
        <v>773</v>
      </c>
      <c r="F3899" s="55"/>
      <c r="G3899" s="24">
        <v>3485000</v>
      </c>
      <c r="I3899" s="24">
        <f>G3899+H3899</f>
        <v>3485000</v>
      </c>
    </row>
    <row r="3900" spans="4:9" ht="12.75">
      <c r="D3900" s="5" t="s">
        <v>784</v>
      </c>
      <c r="E3900" s="55" t="s">
        <v>785</v>
      </c>
      <c r="F3900" s="55"/>
      <c r="H3900" s="24">
        <v>134000</v>
      </c>
      <c r="I3900" s="24">
        <f>G3900+H3900</f>
        <v>134000</v>
      </c>
    </row>
    <row r="3901" spans="4:9" ht="12.75">
      <c r="D3901" s="5" t="s">
        <v>853</v>
      </c>
      <c r="E3901" s="55" t="s">
        <v>854</v>
      </c>
      <c r="F3901" s="55"/>
      <c r="H3901" s="24">
        <v>25000</v>
      </c>
      <c r="I3901" s="24">
        <f>G3901+H3901</f>
        <v>25000</v>
      </c>
    </row>
    <row r="3902" spans="4:9" ht="13.5" thickBot="1">
      <c r="D3902" s="5" t="s">
        <v>825</v>
      </c>
      <c r="E3902" s="55" t="s">
        <v>905</v>
      </c>
      <c r="F3902" s="55"/>
      <c r="H3902" s="24">
        <v>59078.16</v>
      </c>
      <c r="I3902" s="24">
        <f>G3902+H3902</f>
        <v>59078.16</v>
      </c>
    </row>
    <row r="3903" spans="5:9" ht="13.5" thickBot="1">
      <c r="E3903" s="56" t="s">
        <v>347</v>
      </c>
      <c r="F3903" s="56"/>
      <c r="G3903" s="26">
        <f>SUM(G3899:G3902)</f>
        <v>3485000</v>
      </c>
      <c r="H3903" s="26">
        <f>SUM(H3899:H3902)</f>
        <v>218078.16</v>
      </c>
      <c r="I3903" s="26">
        <f>G3903+H3903</f>
        <v>3703078.16</v>
      </c>
    </row>
    <row r="3904" spans="5:9" ht="12.75">
      <c r="E3904" s="58" t="s">
        <v>611</v>
      </c>
      <c r="F3904" s="58"/>
      <c r="G3904" s="25"/>
      <c r="H3904" s="25"/>
      <c r="I3904" s="25"/>
    </row>
    <row r="3905" spans="4:9" ht="12.75">
      <c r="D3905" s="5" t="s">
        <v>772</v>
      </c>
      <c r="E3905" s="55" t="s">
        <v>773</v>
      </c>
      <c r="F3905" s="55"/>
      <c r="G3905" s="24">
        <v>3485000</v>
      </c>
      <c r="H3905" s="24">
        <v>0</v>
      </c>
      <c r="I3905" s="24">
        <f>G3905+H3905</f>
        <v>3485000</v>
      </c>
    </row>
    <row r="3906" spans="4:9" ht="12.75">
      <c r="D3906" s="5" t="s">
        <v>784</v>
      </c>
      <c r="E3906" s="55" t="s">
        <v>785</v>
      </c>
      <c r="F3906" s="55"/>
      <c r="G3906" s="24">
        <v>0</v>
      </c>
      <c r="H3906" s="24">
        <f>+H3900</f>
        <v>134000</v>
      </c>
      <c r="I3906" s="24">
        <f>G3906+H3906</f>
        <v>134000</v>
      </c>
    </row>
    <row r="3907" spans="4:9" ht="12.75">
      <c r="D3907" s="5" t="s">
        <v>853</v>
      </c>
      <c r="E3907" s="55" t="s">
        <v>854</v>
      </c>
      <c r="F3907" s="55"/>
      <c r="G3907" s="24">
        <v>0</v>
      </c>
      <c r="H3907" s="24">
        <f>+H3901</f>
        <v>25000</v>
      </c>
      <c r="I3907" s="24">
        <f>G3907+H3907</f>
        <v>25000</v>
      </c>
    </row>
    <row r="3908" spans="4:9" ht="13.5" thickBot="1">
      <c r="D3908" s="5" t="s">
        <v>825</v>
      </c>
      <c r="E3908" s="55" t="s">
        <v>905</v>
      </c>
      <c r="F3908" s="55"/>
      <c r="G3908" s="24">
        <v>0</v>
      </c>
      <c r="H3908" s="24">
        <f>+H3902</f>
        <v>59078.16</v>
      </c>
      <c r="I3908" s="24">
        <f>G3908+H3908</f>
        <v>59078.16</v>
      </c>
    </row>
    <row r="3909" spans="5:9" ht="13.5" thickBot="1">
      <c r="E3909" s="56" t="s">
        <v>612</v>
      </c>
      <c r="F3909" s="56"/>
      <c r="G3909" s="26">
        <f>SUM(G3905:G3908)</f>
        <v>3485000</v>
      </c>
      <c r="H3909" s="26">
        <f>SUM(H3905:H3908)</f>
        <v>218078.16</v>
      </c>
      <c r="I3909" s="26">
        <f>G3909+H3909</f>
        <v>3703078.16</v>
      </c>
    </row>
    <row r="3911" spans="1:6" ht="12.75">
      <c r="A3911" s="8" t="s">
        <v>766</v>
      </c>
      <c r="B3911" s="9" t="s">
        <v>174</v>
      </c>
      <c r="C3911" s="8"/>
      <c r="D3911" s="9"/>
      <c r="E3911" s="57" t="s">
        <v>335</v>
      </c>
      <c r="F3911" s="57"/>
    </row>
    <row r="3912" spans="1:6" ht="12.75">
      <c r="A3912" s="8"/>
      <c r="B3912" s="9"/>
      <c r="C3912" s="8" t="s">
        <v>770</v>
      </c>
      <c r="D3912" s="9"/>
      <c r="E3912" s="57" t="s">
        <v>771</v>
      </c>
      <c r="F3912" s="57"/>
    </row>
    <row r="3913" spans="4:9" ht="12.75">
      <c r="D3913" s="5" t="s">
        <v>911</v>
      </c>
      <c r="E3913" s="55" t="s">
        <v>199</v>
      </c>
      <c r="F3913" s="55"/>
      <c r="G3913" s="24">
        <v>3516000</v>
      </c>
      <c r="H3913" s="24">
        <v>0</v>
      </c>
      <c r="I3913" s="24">
        <f aca="true" t="shared" si="187" ref="I3913:I3925">G3913+H3913</f>
        <v>3516000</v>
      </c>
    </row>
    <row r="3914" spans="4:9" ht="12.75">
      <c r="D3914" s="5" t="s">
        <v>912</v>
      </c>
      <c r="E3914" s="55" t="s">
        <v>877</v>
      </c>
      <c r="F3914" s="55"/>
      <c r="G3914" s="24">
        <v>629000</v>
      </c>
      <c r="H3914" s="24">
        <v>0</v>
      </c>
      <c r="I3914" s="24">
        <f t="shared" si="187"/>
        <v>629000</v>
      </c>
    </row>
    <row r="3915" spans="4:9" ht="12.75">
      <c r="D3915" s="5" t="s">
        <v>918</v>
      </c>
      <c r="E3915" s="55" t="s">
        <v>878</v>
      </c>
      <c r="F3915" s="55"/>
      <c r="G3915" s="24">
        <v>10000</v>
      </c>
      <c r="H3915" s="24">
        <v>0</v>
      </c>
      <c r="I3915" s="24">
        <f t="shared" si="187"/>
        <v>10000</v>
      </c>
    </row>
    <row r="3916" spans="4:9" ht="12.75">
      <c r="D3916" s="5" t="s">
        <v>921</v>
      </c>
      <c r="E3916" s="55" t="s">
        <v>880</v>
      </c>
      <c r="F3916" s="55"/>
      <c r="G3916" s="24">
        <v>45000</v>
      </c>
      <c r="H3916" s="24">
        <v>0</v>
      </c>
      <c r="I3916" s="24">
        <f t="shared" si="187"/>
        <v>45000</v>
      </c>
    </row>
    <row r="3917" spans="4:9" ht="12.75">
      <c r="D3917" s="5" t="s">
        <v>919</v>
      </c>
      <c r="E3917" s="55" t="s">
        <v>200</v>
      </c>
      <c r="F3917" s="55"/>
      <c r="G3917" s="24">
        <v>105000</v>
      </c>
      <c r="H3917" s="24">
        <v>0</v>
      </c>
      <c r="I3917" s="24">
        <f t="shared" si="187"/>
        <v>105000</v>
      </c>
    </row>
    <row r="3918" spans="4:9" ht="12.75">
      <c r="D3918" s="5" t="s">
        <v>913</v>
      </c>
      <c r="E3918" s="55" t="s">
        <v>881</v>
      </c>
      <c r="F3918" s="55"/>
      <c r="G3918" s="24">
        <v>1000000</v>
      </c>
      <c r="H3918" s="24">
        <v>0</v>
      </c>
      <c r="I3918" s="24">
        <f t="shared" si="187"/>
        <v>1000000</v>
      </c>
    </row>
    <row r="3919" spans="4:9" ht="12.75">
      <c r="D3919" s="5" t="s">
        <v>915</v>
      </c>
      <c r="E3919" s="55" t="s">
        <v>879</v>
      </c>
      <c r="F3919" s="55"/>
      <c r="G3919" s="24">
        <v>44000</v>
      </c>
      <c r="H3919" s="24">
        <v>38000</v>
      </c>
      <c r="I3919" s="24">
        <f t="shared" si="187"/>
        <v>82000</v>
      </c>
    </row>
    <row r="3920" spans="4:9" ht="12.75">
      <c r="D3920" s="5" t="s">
        <v>916</v>
      </c>
      <c r="E3920" s="55" t="s">
        <v>882</v>
      </c>
      <c r="F3920" s="55"/>
      <c r="G3920" s="24">
        <v>112000</v>
      </c>
      <c r="H3920" s="24">
        <v>35122.89</v>
      </c>
      <c r="I3920" s="24">
        <f t="shared" si="187"/>
        <v>147122.89</v>
      </c>
    </row>
    <row r="3921" spans="4:9" ht="12.75">
      <c r="D3921" s="5" t="s">
        <v>924</v>
      </c>
      <c r="E3921" s="55" t="s">
        <v>203</v>
      </c>
      <c r="F3921" s="55"/>
      <c r="G3921" s="24">
        <v>35000</v>
      </c>
      <c r="H3921" s="24">
        <v>125000</v>
      </c>
      <c r="I3921" s="24">
        <f t="shared" si="187"/>
        <v>160000</v>
      </c>
    </row>
    <row r="3922" spans="4:9" ht="12.75">
      <c r="D3922" s="5" t="s">
        <v>925</v>
      </c>
      <c r="E3922" s="55" t="s">
        <v>884</v>
      </c>
      <c r="F3922" s="55"/>
      <c r="G3922" s="24">
        <v>190000</v>
      </c>
      <c r="H3922" s="24">
        <v>129500</v>
      </c>
      <c r="I3922" s="24">
        <f t="shared" si="187"/>
        <v>319500</v>
      </c>
    </row>
    <row r="3923" spans="4:9" ht="12.75">
      <c r="D3923" s="5" t="s">
        <v>754</v>
      </c>
      <c r="E3923" s="55" t="s">
        <v>212</v>
      </c>
      <c r="F3923" s="55"/>
      <c r="G3923" s="24">
        <v>10000</v>
      </c>
      <c r="H3923" s="24">
        <v>0</v>
      </c>
      <c r="I3923" s="24">
        <f t="shared" si="187"/>
        <v>10000</v>
      </c>
    </row>
    <row r="3924" spans="4:9" ht="12.75">
      <c r="D3924" s="5" t="s">
        <v>926</v>
      </c>
      <c r="E3924" s="55" t="s">
        <v>885</v>
      </c>
      <c r="F3924" s="55"/>
      <c r="G3924" s="24">
        <v>115000</v>
      </c>
      <c r="H3924" s="24">
        <v>0</v>
      </c>
      <c r="I3924" s="24">
        <f t="shared" si="187"/>
        <v>115000</v>
      </c>
    </row>
    <row r="3925" spans="4:9" ht="13.5" thickBot="1">
      <c r="D3925" s="5" t="s">
        <v>927</v>
      </c>
      <c r="E3925" s="55" t="s">
        <v>886</v>
      </c>
      <c r="F3925" s="55"/>
      <c r="G3925" s="24">
        <v>40000</v>
      </c>
      <c r="H3925" s="24">
        <v>0</v>
      </c>
      <c r="I3925" s="24">
        <f t="shared" si="187"/>
        <v>40000</v>
      </c>
    </row>
    <row r="3926" spans="5:9" ht="12.75">
      <c r="E3926" s="58" t="s">
        <v>346</v>
      </c>
      <c r="F3926" s="58"/>
      <c r="G3926" s="25"/>
      <c r="H3926" s="25"/>
      <c r="I3926" s="25"/>
    </row>
    <row r="3927" spans="4:9" ht="12.75">
      <c r="D3927" s="5" t="s">
        <v>772</v>
      </c>
      <c r="E3927" s="55" t="s">
        <v>773</v>
      </c>
      <c r="F3927" s="55"/>
      <c r="G3927" s="24">
        <v>5851000</v>
      </c>
      <c r="I3927" s="24">
        <f>G3927+H3927</f>
        <v>5851000</v>
      </c>
    </row>
    <row r="3928" spans="4:9" ht="12.75">
      <c r="D3928" s="5" t="s">
        <v>784</v>
      </c>
      <c r="E3928" s="55" t="s">
        <v>785</v>
      </c>
      <c r="F3928" s="55"/>
      <c r="H3928" s="24">
        <v>285500</v>
      </c>
      <c r="I3928" s="24">
        <f>G3928+H3928</f>
        <v>285500</v>
      </c>
    </row>
    <row r="3929" spans="4:9" ht="13.5" thickBot="1">
      <c r="D3929" s="5" t="s">
        <v>825</v>
      </c>
      <c r="E3929" s="55" t="s">
        <v>905</v>
      </c>
      <c r="F3929" s="55"/>
      <c r="G3929" s="24">
        <v>0</v>
      </c>
      <c r="H3929" s="24">
        <v>42122.89</v>
      </c>
      <c r="I3929" s="24">
        <f>G3929+H3929</f>
        <v>42122.89</v>
      </c>
    </row>
    <row r="3930" spans="5:9" ht="13.5" thickBot="1">
      <c r="E3930" s="56" t="s">
        <v>347</v>
      </c>
      <c r="F3930" s="56"/>
      <c r="G3930" s="26">
        <f>SUM(G3927:G3928)</f>
        <v>5851000</v>
      </c>
      <c r="H3930" s="26">
        <f>SUM(H3927:H3928)</f>
        <v>285500</v>
      </c>
      <c r="I3930" s="26">
        <f>G3930+H3930</f>
        <v>6136500</v>
      </c>
    </row>
    <row r="3931" spans="5:9" ht="12.75">
      <c r="E3931" s="58" t="s">
        <v>613</v>
      </c>
      <c r="F3931" s="58"/>
      <c r="G3931" s="25"/>
      <c r="H3931" s="25"/>
      <c r="I3931" s="25"/>
    </row>
    <row r="3932" spans="4:9" ht="12.75">
      <c r="D3932" s="5" t="s">
        <v>772</v>
      </c>
      <c r="E3932" s="55" t="s">
        <v>773</v>
      </c>
      <c r="F3932" s="55"/>
      <c r="G3932" s="24">
        <v>5851000</v>
      </c>
      <c r="H3932" s="24">
        <v>0</v>
      </c>
      <c r="I3932" s="24">
        <f>G3932+H3932</f>
        <v>5851000</v>
      </c>
    </row>
    <row r="3933" spans="4:9" ht="12.75">
      <c r="D3933" s="5" t="s">
        <v>784</v>
      </c>
      <c r="E3933" s="55" t="s">
        <v>785</v>
      </c>
      <c r="F3933" s="55"/>
      <c r="G3933" s="24">
        <v>0</v>
      </c>
      <c r="H3933" s="24">
        <f>+H3928</f>
        <v>285500</v>
      </c>
      <c r="I3933" s="24">
        <f>G3933+H3933</f>
        <v>285500</v>
      </c>
    </row>
    <row r="3934" spans="4:9" ht="13.5" thickBot="1">
      <c r="D3934" s="5" t="s">
        <v>825</v>
      </c>
      <c r="E3934" s="55" t="s">
        <v>905</v>
      </c>
      <c r="F3934" s="55"/>
      <c r="G3934" s="24">
        <v>0</v>
      </c>
      <c r="H3934" s="24">
        <f>+H3929</f>
        <v>42122.89</v>
      </c>
      <c r="I3934" s="24">
        <f>G3934+H3934</f>
        <v>42122.89</v>
      </c>
    </row>
    <row r="3935" spans="5:9" ht="13.5" thickBot="1">
      <c r="E3935" s="56" t="s">
        <v>614</v>
      </c>
      <c r="F3935" s="56"/>
      <c r="G3935" s="26">
        <f>SUM(G3932:G3933)</f>
        <v>5851000</v>
      </c>
      <c r="H3935" s="26">
        <f>SUM(H3932:H3933)</f>
        <v>285500</v>
      </c>
      <c r="I3935" s="26">
        <f>G3935+H3935</f>
        <v>6136500</v>
      </c>
    </row>
    <row r="3937" spans="1:6" ht="12.75">
      <c r="A3937" s="8" t="s">
        <v>766</v>
      </c>
      <c r="B3937" s="9" t="s">
        <v>175</v>
      </c>
      <c r="C3937" s="8"/>
      <c r="D3937" s="9"/>
      <c r="E3937" s="57" t="s">
        <v>336</v>
      </c>
      <c r="F3937" s="57"/>
    </row>
    <row r="3938" spans="1:6" ht="12.75">
      <c r="A3938" s="8"/>
      <c r="B3938" s="9"/>
      <c r="C3938" s="8" t="s">
        <v>770</v>
      </c>
      <c r="D3938" s="9"/>
      <c r="E3938" s="57" t="s">
        <v>771</v>
      </c>
      <c r="F3938" s="57"/>
    </row>
    <row r="3939" spans="4:9" ht="12.75">
      <c r="D3939" s="5" t="s">
        <v>911</v>
      </c>
      <c r="E3939" s="55" t="s">
        <v>199</v>
      </c>
      <c r="F3939" s="55"/>
      <c r="G3939" s="24">
        <v>2612000</v>
      </c>
      <c r="H3939" s="24">
        <v>0</v>
      </c>
      <c r="I3939" s="24">
        <f aca="true" t="shared" si="188" ref="I3939:I3948">G3939+H3939</f>
        <v>2612000</v>
      </c>
    </row>
    <row r="3940" spans="4:9" ht="12.75">
      <c r="D3940" s="5" t="s">
        <v>912</v>
      </c>
      <c r="E3940" s="55" t="s">
        <v>877</v>
      </c>
      <c r="F3940" s="55"/>
      <c r="G3940" s="24">
        <v>467000</v>
      </c>
      <c r="H3940" s="24">
        <v>0</v>
      </c>
      <c r="I3940" s="24">
        <f t="shared" si="188"/>
        <v>467000</v>
      </c>
    </row>
    <row r="3941" spans="4:9" ht="12.75">
      <c r="D3941" s="5" t="s">
        <v>918</v>
      </c>
      <c r="E3941" s="55" t="s">
        <v>878</v>
      </c>
      <c r="F3941" s="55"/>
      <c r="G3941" s="24">
        <v>10000</v>
      </c>
      <c r="H3941" s="24">
        <v>0</v>
      </c>
      <c r="I3941" s="24">
        <f t="shared" si="188"/>
        <v>10000</v>
      </c>
    </row>
    <row r="3942" spans="4:9" ht="12.75">
      <c r="D3942" s="5" t="s">
        <v>921</v>
      </c>
      <c r="E3942" s="55" t="s">
        <v>880</v>
      </c>
      <c r="F3942" s="55"/>
      <c r="G3942" s="24">
        <v>20000</v>
      </c>
      <c r="H3942" s="24">
        <v>0</v>
      </c>
      <c r="I3942" s="24">
        <f t="shared" si="188"/>
        <v>20000</v>
      </c>
    </row>
    <row r="3943" spans="4:9" ht="12.75">
      <c r="D3943" s="5" t="s">
        <v>919</v>
      </c>
      <c r="E3943" s="55" t="s">
        <v>200</v>
      </c>
      <c r="F3943" s="55"/>
      <c r="G3943" s="24">
        <v>30000</v>
      </c>
      <c r="H3943" s="24">
        <v>0</v>
      </c>
      <c r="I3943" s="24">
        <f t="shared" si="188"/>
        <v>30000</v>
      </c>
    </row>
    <row r="3944" spans="4:9" ht="12.75">
      <c r="D3944" s="5" t="s">
        <v>913</v>
      </c>
      <c r="E3944" s="55" t="s">
        <v>881</v>
      </c>
      <c r="F3944" s="55"/>
      <c r="G3944" s="24">
        <v>600000</v>
      </c>
      <c r="H3944" s="24">
        <v>0</v>
      </c>
      <c r="I3944" s="24">
        <f t="shared" si="188"/>
        <v>600000</v>
      </c>
    </row>
    <row r="3945" spans="4:9" ht="12.75">
      <c r="D3945" s="5" t="s">
        <v>915</v>
      </c>
      <c r="E3945" s="55" t="s">
        <v>879</v>
      </c>
      <c r="F3945" s="55"/>
      <c r="G3945" s="24">
        <v>30000</v>
      </c>
      <c r="H3945" s="24">
        <v>0</v>
      </c>
      <c r="I3945" s="24">
        <f t="shared" si="188"/>
        <v>30000</v>
      </c>
    </row>
    <row r="3946" spans="4:9" ht="12.75">
      <c r="D3946" s="5" t="s">
        <v>916</v>
      </c>
      <c r="E3946" s="55" t="s">
        <v>882</v>
      </c>
      <c r="F3946" s="55"/>
      <c r="G3946" s="24">
        <v>90000</v>
      </c>
      <c r="H3946" s="24">
        <v>0</v>
      </c>
      <c r="I3946" s="24">
        <f t="shared" si="188"/>
        <v>90000</v>
      </c>
    </row>
    <row r="3947" spans="4:9" ht="12.75">
      <c r="D3947" s="5" t="s">
        <v>924</v>
      </c>
      <c r="E3947" s="55" t="s">
        <v>203</v>
      </c>
      <c r="F3947" s="55"/>
      <c r="G3947" s="24">
        <v>50000</v>
      </c>
      <c r="H3947" s="24">
        <v>0</v>
      </c>
      <c r="I3947" s="24">
        <f t="shared" si="188"/>
        <v>50000</v>
      </c>
    </row>
    <row r="3948" spans="4:9" ht="13.5" thickBot="1">
      <c r="D3948" s="5" t="s">
        <v>925</v>
      </c>
      <c r="E3948" s="55" t="s">
        <v>884</v>
      </c>
      <c r="F3948" s="55"/>
      <c r="G3948" s="24">
        <v>180000</v>
      </c>
      <c r="H3948" s="24">
        <v>0</v>
      </c>
      <c r="I3948" s="24">
        <f t="shared" si="188"/>
        <v>180000</v>
      </c>
    </row>
    <row r="3949" spans="5:9" ht="12.75">
      <c r="E3949" s="58" t="s">
        <v>346</v>
      </c>
      <c r="F3949" s="58"/>
      <c r="G3949" s="25"/>
      <c r="H3949" s="25"/>
      <c r="I3949" s="25"/>
    </row>
    <row r="3950" spans="4:9" ht="13.5" thickBot="1">
      <c r="D3950" s="5" t="s">
        <v>772</v>
      </c>
      <c r="E3950" s="55" t="s">
        <v>773</v>
      </c>
      <c r="F3950" s="55"/>
      <c r="G3950" s="24">
        <v>4089000</v>
      </c>
      <c r="I3950" s="24">
        <f>G3950+H3950</f>
        <v>4089000</v>
      </c>
    </row>
    <row r="3951" spans="5:9" ht="13.5" thickBot="1">
      <c r="E3951" s="56" t="s">
        <v>347</v>
      </c>
      <c r="F3951" s="56"/>
      <c r="G3951" s="26">
        <f>SUM(G3950:G3950)</f>
        <v>4089000</v>
      </c>
      <c r="H3951" s="26">
        <f>SUM(H3950:H3950)</f>
        <v>0</v>
      </c>
      <c r="I3951" s="26">
        <f>G3951+H3951</f>
        <v>4089000</v>
      </c>
    </row>
    <row r="3952" spans="5:9" ht="12.75">
      <c r="E3952" s="58" t="s">
        <v>615</v>
      </c>
      <c r="F3952" s="58"/>
      <c r="G3952" s="25"/>
      <c r="H3952" s="25"/>
      <c r="I3952" s="25"/>
    </row>
    <row r="3953" spans="4:9" ht="13.5" thickBot="1">
      <c r="D3953" s="5" t="s">
        <v>772</v>
      </c>
      <c r="E3953" s="55" t="s">
        <v>773</v>
      </c>
      <c r="F3953" s="55"/>
      <c r="G3953" s="24">
        <v>4089000</v>
      </c>
      <c r="H3953" s="24">
        <v>0</v>
      </c>
      <c r="I3953" s="24">
        <f>G3953+H3953</f>
        <v>4089000</v>
      </c>
    </row>
    <row r="3954" spans="5:9" ht="13.5" thickBot="1">
      <c r="E3954" s="56" t="s">
        <v>616</v>
      </c>
      <c r="F3954" s="56"/>
      <c r="G3954" s="26">
        <f>SUM(G3953:G3953)</f>
        <v>4089000</v>
      </c>
      <c r="H3954" s="26">
        <f>SUM(H3953:H3953)</f>
        <v>0</v>
      </c>
      <c r="I3954" s="26">
        <f>G3954+H3954</f>
        <v>4089000</v>
      </c>
    </row>
    <row r="3956" spans="1:6" ht="12.75">
      <c r="A3956" s="8" t="s">
        <v>766</v>
      </c>
      <c r="B3956" s="9" t="s">
        <v>176</v>
      </c>
      <c r="C3956" s="8"/>
      <c r="D3956" s="9"/>
      <c r="E3956" s="57" t="s">
        <v>337</v>
      </c>
      <c r="F3956" s="57"/>
    </row>
    <row r="3957" spans="1:6" ht="12.75">
      <c r="A3957" s="8"/>
      <c r="B3957" s="9"/>
      <c r="C3957" s="8" t="s">
        <v>770</v>
      </c>
      <c r="D3957" s="9"/>
      <c r="E3957" s="57" t="s">
        <v>771</v>
      </c>
      <c r="F3957" s="57"/>
    </row>
    <row r="3958" spans="4:9" ht="12.75">
      <c r="D3958" s="5" t="s">
        <v>911</v>
      </c>
      <c r="E3958" s="55" t="s">
        <v>199</v>
      </c>
      <c r="F3958" s="55"/>
      <c r="G3958" s="24">
        <v>3685000</v>
      </c>
      <c r="H3958" s="24">
        <v>0</v>
      </c>
      <c r="I3958" s="24">
        <f aca="true" t="shared" si="189" ref="I3958:I3967">G3958+H3958</f>
        <v>3685000</v>
      </c>
    </row>
    <row r="3959" spans="4:9" ht="12.75">
      <c r="D3959" s="5" t="s">
        <v>912</v>
      </c>
      <c r="E3959" s="55" t="s">
        <v>877</v>
      </c>
      <c r="F3959" s="55"/>
      <c r="G3959" s="24">
        <v>692000</v>
      </c>
      <c r="H3959" s="24">
        <v>0</v>
      </c>
      <c r="I3959" s="24">
        <f t="shared" si="189"/>
        <v>692000</v>
      </c>
    </row>
    <row r="3960" spans="4:9" ht="12.75">
      <c r="D3960" s="5" t="s">
        <v>913</v>
      </c>
      <c r="E3960" s="55" t="s">
        <v>881</v>
      </c>
      <c r="F3960" s="55"/>
      <c r="G3960" s="24">
        <v>367000</v>
      </c>
      <c r="H3960" s="24">
        <v>0</v>
      </c>
      <c r="I3960" s="24">
        <f t="shared" si="189"/>
        <v>367000</v>
      </c>
    </row>
    <row r="3961" spans="4:9" ht="12.75">
      <c r="D3961" s="5" t="s">
        <v>915</v>
      </c>
      <c r="E3961" s="55" t="s">
        <v>879</v>
      </c>
      <c r="F3961" s="55"/>
      <c r="G3961" s="24">
        <v>65000</v>
      </c>
      <c r="H3961" s="24">
        <v>0</v>
      </c>
      <c r="I3961" s="24">
        <f t="shared" si="189"/>
        <v>65000</v>
      </c>
    </row>
    <row r="3962" spans="4:9" ht="12.75">
      <c r="D3962" s="5" t="s">
        <v>916</v>
      </c>
      <c r="E3962" s="55" t="s">
        <v>882</v>
      </c>
      <c r="F3962" s="55"/>
      <c r="G3962" s="24">
        <v>296000</v>
      </c>
      <c r="H3962" s="24">
        <v>0</v>
      </c>
      <c r="I3962" s="24">
        <f t="shared" si="189"/>
        <v>296000</v>
      </c>
    </row>
    <row r="3963" spans="4:9" ht="12.75">
      <c r="D3963" s="5" t="s">
        <v>924</v>
      </c>
      <c r="E3963" s="55" t="s">
        <v>203</v>
      </c>
      <c r="F3963" s="55"/>
      <c r="G3963" s="24">
        <v>57000</v>
      </c>
      <c r="H3963" s="24">
        <v>0</v>
      </c>
      <c r="I3963" s="24">
        <f t="shared" si="189"/>
        <v>57000</v>
      </c>
    </row>
    <row r="3964" spans="4:9" ht="12.75">
      <c r="D3964" s="5" t="s">
        <v>925</v>
      </c>
      <c r="E3964" s="55" t="s">
        <v>884</v>
      </c>
      <c r="F3964" s="55"/>
      <c r="G3964" s="24">
        <v>238000</v>
      </c>
      <c r="H3964" s="24">
        <v>0</v>
      </c>
      <c r="I3964" s="24">
        <f t="shared" si="189"/>
        <v>238000</v>
      </c>
    </row>
    <row r="3965" spans="4:9" ht="12.75">
      <c r="D3965" s="5" t="s">
        <v>754</v>
      </c>
      <c r="E3965" s="55" t="s">
        <v>212</v>
      </c>
      <c r="F3965" s="55"/>
      <c r="G3965" s="24">
        <v>16000</v>
      </c>
      <c r="H3965" s="24">
        <v>0</v>
      </c>
      <c r="I3965" s="24">
        <f t="shared" si="189"/>
        <v>16000</v>
      </c>
    </row>
    <row r="3966" spans="4:9" ht="12.75">
      <c r="D3966" s="5" t="s">
        <v>926</v>
      </c>
      <c r="E3966" s="55" t="s">
        <v>885</v>
      </c>
      <c r="F3966" s="55"/>
      <c r="G3966" s="24">
        <v>3818000</v>
      </c>
      <c r="H3966" s="24">
        <v>0</v>
      </c>
      <c r="I3966" s="24">
        <f t="shared" si="189"/>
        <v>3818000</v>
      </c>
    </row>
    <row r="3967" spans="4:9" ht="13.5" thickBot="1">
      <c r="D3967" s="5" t="s">
        <v>927</v>
      </c>
      <c r="E3967" s="55" t="s">
        <v>886</v>
      </c>
      <c r="F3967" s="55"/>
      <c r="G3967" s="24">
        <v>115000</v>
      </c>
      <c r="H3967" s="24">
        <v>0</v>
      </c>
      <c r="I3967" s="24">
        <f t="shared" si="189"/>
        <v>115000</v>
      </c>
    </row>
    <row r="3968" spans="5:9" ht="12.75">
      <c r="E3968" s="58" t="s">
        <v>346</v>
      </c>
      <c r="F3968" s="58"/>
      <c r="G3968" s="25"/>
      <c r="H3968" s="25"/>
      <c r="I3968" s="25"/>
    </row>
    <row r="3969" spans="4:9" ht="13.5" thickBot="1">
      <c r="D3969" s="5" t="s">
        <v>772</v>
      </c>
      <c r="E3969" s="55" t="s">
        <v>773</v>
      </c>
      <c r="F3969" s="55"/>
      <c r="G3969" s="24">
        <v>9349000</v>
      </c>
      <c r="I3969" s="24">
        <f>G3969+H3969</f>
        <v>9349000</v>
      </c>
    </row>
    <row r="3970" spans="5:9" ht="13.5" thickBot="1">
      <c r="E3970" s="56" t="s">
        <v>347</v>
      </c>
      <c r="F3970" s="56"/>
      <c r="G3970" s="26">
        <f>SUM(G3969:G3969)</f>
        <v>9349000</v>
      </c>
      <c r="H3970" s="26">
        <f>SUM(H3969:H3969)</f>
        <v>0</v>
      </c>
      <c r="I3970" s="26">
        <f>G3970+H3970</f>
        <v>9349000</v>
      </c>
    </row>
    <row r="3971" spans="5:9" ht="12.75">
      <c r="E3971" s="58" t="s">
        <v>617</v>
      </c>
      <c r="F3971" s="58"/>
      <c r="G3971" s="25"/>
      <c r="H3971" s="25"/>
      <c r="I3971" s="25"/>
    </row>
    <row r="3972" spans="4:9" ht="13.5" thickBot="1">
      <c r="D3972" s="5" t="s">
        <v>772</v>
      </c>
      <c r="E3972" s="55" t="s">
        <v>773</v>
      </c>
      <c r="F3972" s="55"/>
      <c r="G3972" s="24">
        <v>9349000</v>
      </c>
      <c r="H3972" s="24">
        <v>0</v>
      </c>
      <c r="I3972" s="24">
        <f>G3972+H3972</f>
        <v>9349000</v>
      </c>
    </row>
    <row r="3973" spans="5:9" ht="13.5" thickBot="1">
      <c r="E3973" s="56" t="s">
        <v>618</v>
      </c>
      <c r="F3973" s="56"/>
      <c r="G3973" s="26">
        <f>SUM(G3972:G3972)</f>
        <v>9349000</v>
      </c>
      <c r="H3973" s="26">
        <f>SUM(H3972:H3972)</f>
        <v>0</v>
      </c>
      <c r="I3973" s="26">
        <f>G3973+H3973</f>
        <v>9349000</v>
      </c>
    </row>
    <row r="3975" spans="1:6" ht="12.75">
      <c r="A3975" s="8" t="s">
        <v>766</v>
      </c>
      <c r="B3975" s="9" t="s">
        <v>177</v>
      </c>
      <c r="C3975" s="8"/>
      <c r="D3975" s="9"/>
      <c r="E3975" s="57" t="s">
        <v>338</v>
      </c>
      <c r="F3975" s="57"/>
    </row>
    <row r="3976" spans="1:6" ht="12.75">
      <c r="A3976" s="8"/>
      <c r="B3976" s="9"/>
      <c r="C3976" s="8" t="s">
        <v>770</v>
      </c>
      <c r="D3976" s="9"/>
      <c r="E3976" s="57" t="s">
        <v>771</v>
      </c>
      <c r="F3976" s="57"/>
    </row>
    <row r="3977" spans="4:9" ht="12.75">
      <c r="D3977" s="5" t="s">
        <v>911</v>
      </c>
      <c r="E3977" s="55" t="s">
        <v>199</v>
      </c>
      <c r="F3977" s="55"/>
      <c r="G3977" s="24">
        <v>1327000</v>
      </c>
      <c r="H3977" s="24">
        <v>0</v>
      </c>
      <c r="I3977" s="24">
        <f aca="true" t="shared" si="190" ref="I3977:I3985">G3977+H3977</f>
        <v>1327000</v>
      </c>
    </row>
    <row r="3978" spans="4:9" ht="12.75">
      <c r="D3978" s="5" t="s">
        <v>912</v>
      </c>
      <c r="E3978" s="55" t="s">
        <v>877</v>
      </c>
      <c r="F3978" s="55"/>
      <c r="G3978" s="24">
        <v>248000</v>
      </c>
      <c r="H3978" s="24">
        <v>0</v>
      </c>
      <c r="I3978" s="24">
        <f t="shared" si="190"/>
        <v>248000</v>
      </c>
    </row>
    <row r="3979" spans="4:9" ht="12.75">
      <c r="D3979" s="5" t="s">
        <v>918</v>
      </c>
      <c r="E3979" s="55" t="s">
        <v>878</v>
      </c>
      <c r="F3979" s="55"/>
      <c r="G3979" s="24">
        <v>5000</v>
      </c>
      <c r="H3979" s="24">
        <v>0</v>
      </c>
      <c r="I3979" s="24">
        <f t="shared" si="190"/>
        <v>5000</v>
      </c>
    </row>
    <row r="3980" spans="4:9" ht="12.75">
      <c r="D3980" s="5" t="s">
        <v>919</v>
      </c>
      <c r="E3980" s="55" t="s">
        <v>200</v>
      </c>
      <c r="F3980" s="55"/>
      <c r="G3980" s="24">
        <v>48000</v>
      </c>
      <c r="H3980" s="24">
        <v>0</v>
      </c>
      <c r="I3980" s="24">
        <f t="shared" si="190"/>
        <v>48000</v>
      </c>
    </row>
    <row r="3981" spans="4:9" ht="12.75">
      <c r="D3981" s="5" t="s">
        <v>913</v>
      </c>
      <c r="E3981" s="55" t="s">
        <v>881</v>
      </c>
      <c r="F3981" s="55"/>
      <c r="G3981" s="24">
        <v>400000</v>
      </c>
      <c r="H3981" s="24">
        <v>0</v>
      </c>
      <c r="I3981" s="24">
        <f t="shared" si="190"/>
        <v>400000</v>
      </c>
    </row>
    <row r="3982" spans="4:9" ht="12.75">
      <c r="D3982" s="5" t="s">
        <v>915</v>
      </c>
      <c r="E3982" s="55" t="s">
        <v>879</v>
      </c>
      <c r="F3982" s="55"/>
      <c r="G3982" s="24">
        <v>105000</v>
      </c>
      <c r="H3982" s="24">
        <v>0</v>
      </c>
      <c r="I3982" s="24">
        <f t="shared" si="190"/>
        <v>105000</v>
      </c>
    </row>
    <row r="3983" spans="4:9" ht="12.75">
      <c r="D3983" s="5" t="s">
        <v>916</v>
      </c>
      <c r="E3983" s="55" t="s">
        <v>882</v>
      </c>
      <c r="F3983" s="55"/>
      <c r="G3983" s="24">
        <v>77000</v>
      </c>
      <c r="H3983" s="24">
        <v>0</v>
      </c>
      <c r="I3983" s="24">
        <f t="shared" si="190"/>
        <v>77000</v>
      </c>
    </row>
    <row r="3984" spans="4:9" ht="12.75">
      <c r="D3984" s="5" t="s">
        <v>924</v>
      </c>
      <c r="E3984" s="55" t="s">
        <v>203</v>
      </c>
      <c r="F3984" s="55"/>
      <c r="G3984" s="24">
        <v>20000</v>
      </c>
      <c r="H3984" s="24">
        <v>0</v>
      </c>
      <c r="I3984" s="24">
        <f t="shared" si="190"/>
        <v>20000</v>
      </c>
    </row>
    <row r="3985" spans="4:9" ht="13.5" thickBot="1">
      <c r="D3985" s="5" t="s">
        <v>925</v>
      </c>
      <c r="E3985" s="55" t="s">
        <v>884</v>
      </c>
      <c r="F3985" s="55"/>
      <c r="G3985" s="24">
        <v>370000</v>
      </c>
      <c r="H3985" s="24">
        <v>0</v>
      </c>
      <c r="I3985" s="24">
        <f t="shared" si="190"/>
        <v>370000</v>
      </c>
    </row>
    <row r="3986" spans="5:9" ht="12.75">
      <c r="E3986" s="58" t="s">
        <v>346</v>
      </c>
      <c r="F3986" s="58"/>
      <c r="G3986" s="25"/>
      <c r="H3986" s="25"/>
      <c r="I3986" s="25"/>
    </row>
    <row r="3987" spans="4:9" ht="13.5" thickBot="1">
      <c r="D3987" s="5" t="s">
        <v>772</v>
      </c>
      <c r="E3987" s="55" t="s">
        <v>773</v>
      </c>
      <c r="F3987" s="55"/>
      <c r="G3987" s="24">
        <v>2600000</v>
      </c>
      <c r="I3987" s="24">
        <f>G3987+H3987</f>
        <v>2600000</v>
      </c>
    </row>
    <row r="3988" spans="5:9" ht="13.5" thickBot="1">
      <c r="E3988" s="56" t="s">
        <v>347</v>
      </c>
      <c r="F3988" s="56"/>
      <c r="G3988" s="26">
        <f>SUM(G3987:G3987)</f>
        <v>2600000</v>
      </c>
      <c r="H3988" s="26">
        <f>SUM(H3987:H3987)</f>
        <v>0</v>
      </c>
      <c r="I3988" s="26">
        <f>G3988+H3988</f>
        <v>2600000</v>
      </c>
    </row>
    <row r="3989" spans="5:9" ht="12.75">
      <c r="E3989" s="58" t="s">
        <v>619</v>
      </c>
      <c r="F3989" s="58"/>
      <c r="G3989" s="25"/>
      <c r="H3989" s="25"/>
      <c r="I3989" s="25"/>
    </row>
    <row r="3990" spans="4:9" ht="13.5" thickBot="1">
      <c r="D3990" s="5" t="s">
        <v>772</v>
      </c>
      <c r="E3990" s="55" t="s">
        <v>773</v>
      </c>
      <c r="F3990" s="55"/>
      <c r="G3990" s="24">
        <v>2600000</v>
      </c>
      <c r="H3990" s="24">
        <v>0</v>
      </c>
      <c r="I3990" s="24">
        <f>G3990+H3990</f>
        <v>2600000</v>
      </c>
    </row>
    <row r="3991" spans="5:9" ht="13.5" thickBot="1">
      <c r="E3991" s="56" t="s">
        <v>620</v>
      </c>
      <c r="F3991" s="56"/>
      <c r="G3991" s="26">
        <f>SUM(G3990:G3990)</f>
        <v>2600000</v>
      </c>
      <c r="H3991" s="26">
        <f>SUM(H3990:H3990)</f>
        <v>0</v>
      </c>
      <c r="I3991" s="26">
        <f>G3991+H3991</f>
        <v>2600000</v>
      </c>
    </row>
    <row r="3992" ht="9" customHeight="1"/>
    <row r="3993" spans="1:6" ht="12.75">
      <c r="A3993" s="8" t="s">
        <v>766</v>
      </c>
      <c r="B3993" s="9" t="s">
        <v>178</v>
      </c>
      <c r="C3993" s="8"/>
      <c r="D3993" s="9"/>
      <c r="E3993" s="57" t="s">
        <v>339</v>
      </c>
      <c r="F3993" s="57"/>
    </row>
    <row r="3994" spans="1:6" ht="12.75">
      <c r="A3994" s="8"/>
      <c r="B3994" s="9"/>
      <c r="C3994" s="8" t="s">
        <v>770</v>
      </c>
      <c r="D3994" s="9"/>
      <c r="E3994" s="57" t="s">
        <v>771</v>
      </c>
      <c r="F3994" s="57"/>
    </row>
    <row r="3995" spans="4:9" ht="12.75">
      <c r="D3995" s="5" t="s">
        <v>911</v>
      </c>
      <c r="E3995" s="55" t="s">
        <v>199</v>
      </c>
      <c r="F3995" s="55"/>
      <c r="G3995" s="24">
        <v>1876000</v>
      </c>
      <c r="H3995" s="24">
        <v>0</v>
      </c>
      <c r="I3995" s="24">
        <f aca="true" t="shared" si="191" ref="I3995:I4003">G3995+H3995</f>
        <v>1876000</v>
      </c>
    </row>
    <row r="3996" spans="4:9" ht="12.75">
      <c r="D3996" s="5" t="s">
        <v>912</v>
      </c>
      <c r="E3996" s="55" t="s">
        <v>877</v>
      </c>
      <c r="F3996" s="55"/>
      <c r="G3996" s="24">
        <v>346000</v>
      </c>
      <c r="H3996" s="24">
        <v>0</v>
      </c>
      <c r="I3996" s="24">
        <f t="shared" si="191"/>
        <v>346000</v>
      </c>
    </row>
    <row r="3997" spans="4:9" ht="12.75">
      <c r="D3997" s="5" t="s">
        <v>913</v>
      </c>
      <c r="E3997" s="55" t="s">
        <v>881</v>
      </c>
      <c r="F3997" s="55"/>
      <c r="G3997" s="24">
        <v>230000</v>
      </c>
      <c r="H3997" s="24">
        <v>0</v>
      </c>
      <c r="I3997" s="24">
        <f t="shared" si="191"/>
        <v>230000</v>
      </c>
    </row>
    <row r="3998" spans="4:9" ht="12.75">
      <c r="D3998" s="5" t="s">
        <v>915</v>
      </c>
      <c r="E3998" s="55" t="s">
        <v>879</v>
      </c>
      <c r="F3998" s="55"/>
      <c r="G3998" s="24">
        <v>77000</v>
      </c>
      <c r="H3998" s="24">
        <v>0</v>
      </c>
      <c r="I3998" s="24">
        <f t="shared" si="191"/>
        <v>77000</v>
      </c>
    </row>
    <row r="3999" spans="4:9" ht="12.75">
      <c r="D3999" s="5" t="s">
        <v>916</v>
      </c>
      <c r="E3999" s="55" t="s">
        <v>882</v>
      </c>
      <c r="F3999" s="55"/>
      <c r="G3999" s="24">
        <v>107000</v>
      </c>
      <c r="H3999" s="24">
        <v>0</v>
      </c>
      <c r="I3999" s="24">
        <f t="shared" si="191"/>
        <v>107000</v>
      </c>
    </row>
    <row r="4000" spans="4:9" ht="12.75">
      <c r="D4000" s="5" t="s">
        <v>924</v>
      </c>
      <c r="E4000" s="55" t="s">
        <v>203</v>
      </c>
      <c r="F4000" s="55"/>
      <c r="G4000" s="24">
        <v>12000</v>
      </c>
      <c r="H4000" s="24">
        <v>0</v>
      </c>
      <c r="I4000" s="24">
        <f t="shared" si="191"/>
        <v>12000</v>
      </c>
    </row>
    <row r="4001" spans="4:9" ht="12.75">
      <c r="D4001" s="5" t="s">
        <v>925</v>
      </c>
      <c r="E4001" s="55" t="s">
        <v>884</v>
      </c>
      <c r="F4001" s="55"/>
      <c r="G4001" s="24">
        <v>170000</v>
      </c>
      <c r="H4001" s="24">
        <v>0</v>
      </c>
      <c r="I4001" s="24">
        <f t="shared" si="191"/>
        <v>170000</v>
      </c>
    </row>
    <row r="4002" spans="4:9" ht="12.75">
      <c r="D4002" s="5" t="s">
        <v>754</v>
      </c>
      <c r="E4002" s="55" t="s">
        <v>212</v>
      </c>
      <c r="F4002" s="55"/>
      <c r="G4002" s="24">
        <v>10000</v>
      </c>
      <c r="H4002" s="24">
        <v>0</v>
      </c>
      <c r="I4002" s="24">
        <f t="shared" si="191"/>
        <v>10000</v>
      </c>
    </row>
    <row r="4003" spans="4:9" ht="13.5" thickBot="1">
      <c r="D4003" s="5" t="s">
        <v>927</v>
      </c>
      <c r="E4003" s="55" t="s">
        <v>886</v>
      </c>
      <c r="F4003" s="55"/>
      <c r="G4003" s="24">
        <v>11000</v>
      </c>
      <c r="H4003" s="24">
        <v>0</v>
      </c>
      <c r="I4003" s="24">
        <f t="shared" si="191"/>
        <v>11000</v>
      </c>
    </row>
    <row r="4004" spans="5:9" ht="12.75">
      <c r="E4004" s="58" t="s">
        <v>346</v>
      </c>
      <c r="F4004" s="58"/>
      <c r="G4004" s="25"/>
      <c r="H4004" s="25"/>
      <c r="I4004" s="25"/>
    </row>
    <row r="4005" spans="4:9" ht="13.5" thickBot="1">
      <c r="D4005" s="5" t="s">
        <v>772</v>
      </c>
      <c r="E4005" s="55" t="s">
        <v>773</v>
      </c>
      <c r="F4005" s="55"/>
      <c r="G4005" s="24">
        <v>2839000</v>
      </c>
      <c r="I4005" s="24">
        <f>G4005+H4005</f>
        <v>2839000</v>
      </c>
    </row>
    <row r="4006" spans="5:9" ht="13.5" thickBot="1">
      <c r="E4006" s="56" t="s">
        <v>347</v>
      </c>
      <c r="F4006" s="56"/>
      <c r="G4006" s="26">
        <f>SUM(G4005:G4005)</f>
        <v>2839000</v>
      </c>
      <c r="H4006" s="26">
        <f>SUM(H4005:H4005)</f>
        <v>0</v>
      </c>
      <c r="I4006" s="26">
        <f>G4006+H4006</f>
        <v>2839000</v>
      </c>
    </row>
    <row r="4007" spans="5:9" ht="12.75">
      <c r="E4007" s="58" t="s">
        <v>621</v>
      </c>
      <c r="F4007" s="58"/>
      <c r="G4007" s="25"/>
      <c r="H4007" s="25"/>
      <c r="I4007" s="25"/>
    </row>
    <row r="4008" spans="4:9" ht="13.5" thickBot="1">
      <c r="D4008" s="5" t="s">
        <v>772</v>
      </c>
      <c r="E4008" s="55" t="s">
        <v>773</v>
      </c>
      <c r="F4008" s="55"/>
      <c r="G4008" s="24">
        <v>2839000</v>
      </c>
      <c r="H4008" s="24">
        <v>0</v>
      </c>
      <c r="I4008" s="24">
        <f>G4008+H4008</f>
        <v>2839000</v>
      </c>
    </row>
    <row r="4009" spans="5:9" ht="13.5" thickBot="1">
      <c r="E4009" s="56" t="s">
        <v>622</v>
      </c>
      <c r="F4009" s="56"/>
      <c r="G4009" s="26">
        <f>SUM(G4008:G4008)</f>
        <v>2839000</v>
      </c>
      <c r="H4009" s="26">
        <f>SUM(H4008:H4008)</f>
        <v>0</v>
      </c>
      <c r="I4009" s="26">
        <f>G4009+H4009</f>
        <v>2839000</v>
      </c>
    </row>
    <row r="4010" ht="7.5" customHeight="1"/>
    <row r="4011" spans="1:6" ht="12.75">
      <c r="A4011" s="8" t="s">
        <v>766</v>
      </c>
      <c r="B4011" s="9" t="s">
        <v>179</v>
      </c>
      <c r="C4011" s="8"/>
      <c r="D4011" s="9"/>
      <c r="E4011" s="57" t="s">
        <v>340</v>
      </c>
      <c r="F4011" s="57"/>
    </row>
    <row r="4012" spans="1:6" ht="12.75">
      <c r="A4012" s="8"/>
      <c r="B4012" s="9"/>
      <c r="C4012" s="8" t="s">
        <v>770</v>
      </c>
      <c r="D4012" s="9"/>
      <c r="E4012" s="57" t="s">
        <v>771</v>
      </c>
      <c r="F4012" s="57"/>
    </row>
    <row r="4013" spans="4:9" ht="12.75">
      <c r="D4013" s="5" t="s">
        <v>911</v>
      </c>
      <c r="E4013" s="55" t="s">
        <v>199</v>
      </c>
      <c r="F4013" s="55"/>
      <c r="G4013" s="24">
        <v>3792000</v>
      </c>
      <c r="H4013" s="24">
        <v>0</v>
      </c>
      <c r="I4013" s="24">
        <f aca="true" t="shared" si="192" ref="I4013:I4021">G4013+H4013</f>
        <v>3792000</v>
      </c>
    </row>
    <row r="4014" spans="4:9" ht="12.75">
      <c r="D4014" s="5" t="s">
        <v>912</v>
      </c>
      <c r="E4014" s="55" t="s">
        <v>877</v>
      </c>
      <c r="F4014" s="55"/>
      <c r="G4014" s="24">
        <v>679000</v>
      </c>
      <c r="H4014" s="24">
        <v>0</v>
      </c>
      <c r="I4014" s="24">
        <f t="shared" si="192"/>
        <v>679000</v>
      </c>
    </row>
    <row r="4015" spans="4:9" ht="12.75">
      <c r="D4015" s="5" t="s">
        <v>913</v>
      </c>
      <c r="E4015" s="55" t="s">
        <v>881</v>
      </c>
      <c r="F4015" s="55"/>
      <c r="G4015" s="24">
        <v>300000</v>
      </c>
      <c r="H4015" s="24">
        <v>0</v>
      </c>
      <c r="I4015" s="24">
        <f t="shared" si="192"/>
        <v>300000</v>
      </c>
    </row>
    <row r="4016" spans="4:9" ht="12.75">
      <c r="D4016" s="5" t="s">
        <v>915</v>
      </c>
      <c r="E4016" s="55" t="s">
        <v>879</v>
      </c>
      <c r="F4016" s="55"/>
      <c r="G4016" s="24">
        <v>53000</v>
      </c>
      <c r="H4016" s="24">
        <v>0</v>
      </c>
      <c r="I4016" s="24">
        <f t="shared" si="192"/>
        <v>53000</v>
      </c>
    </row>
    <row r="4017" spans="4:9" ht="12.75">
      <c r="D4017" s="5" t="s">
        <v>916</v>
      </c>
      <c r="E4017" s="55" t="s">
        <v>882</v>
      </c>
      <c r="F4017" s="55"/>
      <c r="G4017" s="24">
        <v>283000</v>
      </c>
      <c r="H4017" s="24">
        <v>0</v>
      </c>
      <c r="I4017" s="24">
        <f t="shared" si="192"/>
        <v>283000</v>
      </c>
    </row>
    <row r="4018" spans="4:9" ht="12.75">
      <c r="D4018" s="5" t="s">
        <v>924</v>
      </c>
      <c r="E4018" s="55" t="s">
        <v>203</v>
      </c>
      <c r="F4018" s="55"/>
      <c r="G4018" s="24">
        <v>120000</v>
      </c>
      <c r="H4018" s="24">
        <v>0</v>
      </c>
      <c r="I4018" s="24">
        <f t="shared" si="192"/>
        <v>120000</v>
      </c>
    </row>
    <row r="4019" spans="4:9" ht="12.75">
      <c r="D4019" s="5" t="s">
        <v>925</v>
      </c>
      <c r="E4019" s="55" t="s">
        <v>884</v>
      </c>
      <c r="F4019" s="55"/>
      <c r="G4019" s="24">
        <v>365000</v>
      </c>
      <c r="H4019" s="24">
        <v>0</v>
      </c>
      <c r="I4019" s="24">
        <f t="shared" si="192"/>
        <v>365000</v>
      </c>
    </row>
    <row r="4020" spans="4:9" ht="12.75">
      <c r="D4020" s="5" t="s">
        <v>926</v>
      </c>
      <c r="E4020" s="55" t="s">
        <v>885</v>
      </c>
      <c r="F4020" s="55"/>
      <c r="G4020" s="24">
        <v>0</v>
      </c>
      <c r="H4020" s="24">
        <v>336036000</v>
      </c>
      <c r="I4020" s="24">
        <f t="shared" si="192"/>
        <v>336036000</v>
      </c>
    </row>
    <row r="4021" spans="4:9" ht="13.5" thickBot="1">
      <c r="D4021" s="5" t="s">
        <v>927</v>
      </c>
      <c r="E4021" s="55" t="s">
        <v>886</v>
      </c>
      <c r="F4021" s="55"/>
      <c r="G4021" s="24">
        <v>30000</v>
      </c>
      <c r="H4021" s="24">
        <v>0</v>
      </c>
      <c r="I4021" s="24">
        <f t="shared" si="192"/>
        <v>30000</v>
      </c>
    </row>
    <row r="4022" spans="5:9" ht="12.75">
      <c r="E4022" s="58" t="s">
        <v>346</v>
      </c>
      <c r="F4022" s="58"/>
      <c r="G4022" s="25"/>
      <c r="H4022" s="25"/>
      <c r="I4022" s="25"/>
    </row>
    <row r="4023" spans="4:9" ht="12.75">
      <c r="D4023" s="5" t="s">
        <v>772</v>
      </c>
      <c r="E4023" s="55" t="s">
        <v>773</v>
      </c>
      <c r="F4023" s="55"/>
      <c r="G4023" s="24">
        <v>5622000</v>
      </c>
      <c r="I4023" s="24">
        <f>G4023+H4023</f>
        <v>5622000</v>
      </c>
    </row>
    <row r="4024" spans="4:9" ht="13.5" thickBot="1">
      <c r="D4024" s="5" t="s">
        <v>830</v>
      </c>
      <c r="E4024" s="55" t="s">
        <v>906</v>
      </c>
      <c r="F4024" s="55"/>
      <c r="H4024" s="24">
        <v>336036000</v>
      </c>
      <c r="I4024" s="24">
        <f>G4024+H4024</f>
        <v>336036000</v>
      </c>
    </row>
    <row r="4025" spans="5:9" ht="13.5" thickBot="1">
      <c r="E4025" s="56" t="s">
        <v>347</v>
      </c>
      <c r="F4025" s="56"/>
      <c r="G4025" s="26">
        <f>SUM(G4023:G4024)</f>
        <v>5622000</v>
      </c>
      <c r="H4025" s="26">
        <f>SUM(H4023:H4024)</f>
        <v>336036000</v>
      </c>
      <c r="I4025" s="26">
        <f>G4025+H4025</f>
        <v>341658000</v>
      </c>
    </row>
    <row r="4026" spans="5:9" ht="12.75">
      <c r="E4026" s="58" t="s">
        <v>623</v>
      </c>
      <c r="F4026" s="58"/>
      <c r="G4026" s="25"/>
      <c r="H4026" s="25"/>
      <c r="I4026" s="25"/>
    </row>
    <row r="4027" spans="4:9" ht="12.75">
      <c r="D4027" s="5" t="s">
        <v>772</v>
      </c>
      <c r="E4027" s="55" t="s">
        <v>773</v>
      </c>
      <c r="F4027" s="55"/>
      <c r="G4027" s="24">
        <v>5622000</v>
      </c>
      <c r="H4027" s="24">
        <v>0</v>
      </c>
      <c r="I4027" s="24">
        <f>G4027+H4027</f>
        <v>5622000</v>
      </c>
    </row>
    <row r="4028" spans="4:9" ht="13.5" thickBot="1">
      <c r="D4028" s="5" t="s">
        <v>830</v>
      </c>
      <c r="E4028" s="55" t="s">
        <v>906</v>
      </c>
      <c r="F4028" s="55"/>
      <c r="G4028" s="24">
        <v>0</v>
      </c>
      <c r="H4028" s="24">
        <v>336036000</v>
      </c>
      <c r="I4028" s="24">
        <f>G4028+H4028</f>
        <v>336036000</v>
      </c>
    </row>
    <row r="4029" spans="5:9" ht="13.5" thickBot="1">
      <c r="E4029" s="56" t="s">
        <v>624</v>
      </c>
      <c r="F4029" s="56"/>
      <c r="G4029" s="26">
        <f>SUM(G4027:G4028)</f>
        <v>5622000</v>
      </c>
      <c r="H4029" s="26">
        <f>SUM(H4027:H4028)</f>
        <v>336036000</v>
      </c>
      <c r="I4029" s="26">
        <f>G4029+H4029</f>
        <v>341658000</v>
      </c>
    </row>
    <row r="4030" ht="8.25" customHeight="1"/>
    <row r="4031" spans="1:6" ht="12.75">
      <c r="A4031" s="8" t="s">
        <v>766</v>
      </c>
      <c r="B4031" s="9" t="s">
        <v>180</v>
      </c>
      <c r="C4031" s="8"/>
      <c r="D4031" s="9"/>
      <c r="E4031" s="57" t="s">
        <v>341</v>
      </c>
      <c r="F4031" s="57"/>
    </row>
    <row r="4032" spans="1:6" ht="12.75">
      <c r="A4032" s="8"/>
      <c r="B4032" s="9"/>
      <c r="C4032" s="8" t="s">
        <v>770</v>
      </c>
      <c r="D4032" s="9"/>
      <c r="E4032" s="57" t="s">
        <v>771</v>
      </c>
      <c r="F4032" s="57"/>
    </row>
    <row r="4033" spans="4:9" ht="12.75">
      <c r="D4033" s="5" t="s">
        <v>911</v>
      </c>
      <c r="E4033" s="55" t="s">
        <v>199</v>
      </c>
      <c r="F4033" s="55"/>
      <c r="G4033" s="24">
        <v>3585000</v>
      </c>
      <c r="H4033" s="24">
        <v>0</v>
      </c>
      <c r="I4033" s="24">
        <f aca="true" t="shared" si="193" ref="I4033:I4040">G4033+H4033</f>
        <v>3585000</v>
      </c>
    </row>
    <row r="4034" spans="4:9" ht="12.75">
      <c r="D4034" s="5" t="s">
        <v>912</v>
      </c>
      <c r="E4034" s="55" t="s">
        <v>877</v>
      </c>
      <c r="F4034" s="55"/>
      <c r="G4034" s="24">
        <v>645000</v>
      </c>
      <c r="H4034" s="24">
        <v>0</v>
      </c>
      <c r="I4034" s="24">
        <f t="shared" si="193"/>
        <v>645000</v>
      </c>
    </row>
    <row r="4035" spans="4:9" ht="12.75">
      <c r="D4035" s="5" t="s">
        <v>913</v>
      </c>
      <c r="E4035" s="55" t="s">
        <v>881</v>
      </c>
      <c r="F4035" s="55"/>
      <c r="G4035" s="24">
        <v>167000</v>
      </c>
      <c r="H4035" s="24">
        <v>0</v>
      </c>
      <c r="I4035" s="24">
        <f t="shared" si="193"/>
        <v>167000</v>
      </c>
    </row>
    <row r="4036" spans="4:9" ht="12.75">
      <c r="D4036" s="5" t="s">
        <v>915</v>
      </c>
      <c r="E4036" s="55" t="s">
        <v>879</v>
      </c>
      <c r="F4036" s="55"/>
      <c r="G4036" s="24">
        <v>25000</v>
      </c>
      <c r="H4036" s="24">
        <v>0</v>
      </c>
      <c r="I4036" s="24">
        <f t="shared" si="193"/>
        <v>25000</v>
      </c>
    </row>
    <row r="4037" spans="4:9" ht="12.75">
      <c r="D4037" s="5" t="s">
        <v>916</v>
      </c>
      <c r="E4037" s="55" t="s">
        <v>882</v>
      </c>
      <c r="F4037" s="55"/>
      <c r="G4037" s="24">
        <v>140000</v>
      </c>
      <c r="H4037" s="24">
        <v>0</v>
      </c>
      <c r="I4037" s="24">
        <f t="shared" si="193"/>
        <v>140000</v>
      </c>
    </row>
    <row r="4038" spans="4:9" ht="12.75">
      <c r="D4038" s="5" t="s">
        <v>923</v>
      </c>
      <c r="E4038" s="55" t="s">
        <v>883</v>
      </c>
      <c r="F4038" s="55"/>
      <c r="G4038" s="24">
        <v>37000</v>
      </c>
      <c r="H4038" s="24">
        <v>0</v>
      </c>
      <c r="I4038" s="24">
        <f t="shared" si="193"/>
        <v>37000</v>
      </c>
    </row>
    <row r="4039" spans="4:9" ht="12.75">
      <c r="D4039" s="5" t="s">
        <v>924</v>
      </c>
      <c r="E4039" s="55" t="s">
        <v>203</v>
      </c>
      <c r="F4039" s="55"/>
      <c r="G4039" s="24">
        <v>202000</v>
      </c>
      <c r="H4039" s="24">
        <v>0</v>
      </c>
      <c r="I4039" s="24">
        <f t="shared" si="193"/>
        <v>202000</v>
      </c>
    </row>
    <row r="4040" spans="4:9" ht="13.5" thickBot="1">
      <c r="D4040" s="5" t="s">
        <v>925</v>
      </c>
      <c r="E4040" s="55" t="s">
        <v>884</v>
      </c>
      <c r="F4040" s="55"/>
      <c r="G4040" s="24">
        <v>400000</v>
      </c>
      <c r="H4040" s="24">
        <v>0</v>
      </c>
      <c r="I4040" s="24">
        <f t="shared" si="193"/>
        <v>400000</v>
      </c>
    </row>
    <row r="4041" spans="5:9" ht="12.75">
      <c r="E4041" s="58" t="s">
        <v>346</v>
      </c>
      <c r="F4041" s="58"/>
      <c r="G4041" s="25"/>
      <c r="H4041" s="25"/>
      <c r="I4041" s="25"/>
    </row>
    <row r="4042" spans="4:9" ht="13.5" thickBot="1">
      <c r="D4042" s="5" t="s">
        <v>772</v>
      </c>
      <c r="E4042" s="55" t="s">
        <v>773</v>
      </c>
      <c r="F4042" s="55"/>
      <c r="G4042" s="24">
        <v>5201000</v>
      </c>
      <c r="I4042" s="24">
        <f>G4042+H4042</f>
        <v>5201000</v>
      </c>
    </row>
    <row r="4043" spans="5:9" ht="13.5" thickBot="1">
      <c r="E4043" s="56" t="s">
        <v>347</v>
      </c>
      <c r="F4043" s="56"/>
      <c r="G4043" s="26">
        <f>SUM(G4042:G4042)</f>
        <v>5201000</v>
      </c>
      <c r="H4043" s="26">
        <f>SUM(H4042:H4042)</f>
        <v>0</v>
      </c>
      <c r="I4043" s="26">
        <f>G4043+H4043</f>
        <v>5201000</v>
      </c>
    </row>
    <row r="4044" spans="5:9" ht="12.75">
      <c r="E4044" s="58" t="s">
        <v>625</v>
      </c>
      <c r="F4044" s="58"/>
      <c r="G4044" s="25"/>
      <c r="H4044" s="25"/>
      <c r="I4044" s="25"/>
    </row>
    <row r="4045" spans="4:9" ht="13.5" thickBot="1">
      <c r="D4045" s="5" t="s">
        <v>772</v>
      </c>
      <c r="E4045" s="55" t="s">
        <v>773</v>
      </c>
      <c r="F4045" s="55"/>
      <c r="G4045" s="24">
        <v>5201000</v>
      </c>
      <c r="H4045" s="24">
        <v>0</v>
      </c>
      <c r="I4045" s="24">
        <f>G4045+H4045</f>
        <v>5201000</v>
      </c>
    </row>
    <row r="4046" spans="5:9" ht="13.5" thickBot="1">
      <c r="E4046" s="56" t="s">
        <v>626</v>
      </c>
      <c r="F4046" s="56"/>
      <c r="G4046" s="26">
        <f>SUM(G4045:G4045)</f>
        <v>5201000</v>
      </c>
      <c r="H4046" s="26">
        <f>SUM(H4045:H4045)</f>
        <v>0</v>
      </c>
      <c r="I4046" s="26">
        <f>G4046+H4046</f>
        <v>5201000</v>
      </c>
    </row>
    <row r="4047" spans="5:9" ht="13.5" thickBot="1">
      <c r="E4047" s="58" t="s">
        <v>232</v>
      </c>
      <c r="F4047" s="58"/>
      <c r="G4047" s="25"/>
      <c r="H4047" s="25"/>
      <c r="I4047" s="25"/>
    </row>
    <row r="4048" spans="5:9" ht="12.75">
      <c r="E4048" s="58" t="s">
        <v>627</v>
      </c>
      <c r="F4048" s="58"/>
      <c r="G4048" s="25"/>
      <c r="H4048" s="25"/>
      <c r="I4048" s="25"/>
    </row>
    <row r="4049" spans="4:9" ht="12.75">
      <c r="D4049" s="5" t="s">
        <v>772</v>
      </c>
      <c r="E4049" s="55" t="s">
        <v>773</v>
      </c>
      <c r="F4049" s="55"/>
      <c r="G4049" s="24">
        <v>153779000</v>
      </c>
      <c r="H4049" s="24">
        <v>0</v>
      </c>
      <c r="I4049" s="24">
        <f aca="true" t="shared" si="194" ref="I4049:I4057">G4049+H4049</f>
        <v>153779000</v>
      </c>
    </row>
    <row r="4050" spans="4:9" ht="12.75">
      <c r="D4050" s="5" t="s">
        <v>784</v>
      </c>
      <c r="E4050" s="55" t="s">
        <v>785</v>
      </c>
      <c r="F4050" s="55"/>
      <c r="G4050" s="24">
        <v>0</v>
      </c>
      <c r="H4050" s="24">
        <v>10401566</v>
      </c>
      <c r="I4050" s="24">
        <f t="shared" si="194"/>
        <v>10401566</v>
      </c>
    </row>
    <row r="4051" spans="4:9" ht="12.75">
      <c r="D4051" s="5" t="s">
        <v>780</v>
      </c>
      <c r="E4051" s="55" t="s">
        <v>781</v>
      </c>
      <c r="F4051" s="55"/>
      <c r="G4051" s="24">
        <v>0</v>
      </c>
      <c r="H4051" s="24">
        <v>120000</v>
      </c>
      <c r="I4051" s="24">
        <f t="shared" si="194"/>
        <v>120000</v>
      </c>
    </row>
    <row r="4052" spans="4:9" ht="12.75">
      <c r="D4052" s="5" t="s">
        <v>853</v>
      </c>
      <c r="E4052" s="55" t="s">
        <v>854</v>
      </c>
      <c r="F4052" s="55"/>
      <c r="G4052" s="24">
        <v>0</v>
      </c>
      <c r="H4052" s="24">
        <v>182000</v>
      </c>
      <c r="I4052" s="24">
        <f t="shared" si="194"/>
        <v>182000</v>
      </c>
    </row>
    <row r="4053" spans="4:9" ht="12.75">
      <c r="D4053" s="5" t="s">
        <v>796</v>
      </c>
      <c r="E4053" s="55" t="s">
        <v>797</v>
      </c>
      <c r="F4053" s="55"/>
      <c r="G4053" s="24">
        <v>0</v>
      </c>
      <c r="H4053" s="24">
        <v>265000</v>
      </c>
      <c r="I4053" s="24">
        <f t="shared" si="194"/>
        <v>265000</v>
      </c>
    </row>
    <row r="4054" spans="4:9" ht="12.75">
      <c r="D4054" s="5" t="s">
        <v>786</v>
      </c>
      <c r="E4054" s="55" t="s">
        <v>787</v>
      </c>
      <c r="F4054" s="55"/>
      <c r="G4054" s="24">
        <v>0</v>
      </c>
      <c r="H4054" s="24">
        <v>246000</v>
      </c>
      <c r="I4054" s="24">
        <f t="shared" si="194"/>
        <v>246000</v>
      </c>
    </row>
    <row r="4055" spans="4:9" ht="12.75">
      <c r="D4055" s="5" t="s">
        <v>825</v>
      </c>
      <c r="E4055" s="55" t="s">
        <v>905</v>
      </c>
      <c r="F4055" s="55"/>
      <c r="G4055" s="24">
        <v>0</v>
      </c>
      <c r="H4055" s="24">
        <v>1137985.65</v>
      </c>
      <c r="I4055" s="24">
        <f t="shared" si="194"/>
        <v>1137985.65</v>
      </c>
    </row>
    <row r="4056" spans="4:9" ht="13.5" thickBot="1">
      <c r="D4056" s="5" t="s">
        <v>830</v>
      </c>
      <c r="E4056" s="55" t="s">
        <v>906</v>
      </c>
      <c r="F4056" s="55"/>
      <c r="G4056" s="24">
        <v>0</v>
      </c>
      <c r="H4056" s="24">
        <v>336036000</v>
      </c>
      <c r="I4056" s="24">
        <f t="shared" si="194"/>
        <v>336036000</v>
      </c>
    </row>
    <row r="4057" spans="5:9" ht="13.5" thickBot="1">
      <c r="E4057" s="56" t="s">
        <v>628</v>
      </c>
      <c r="F4057" s="56"/>
      <c r="G4057" s="26">
        <f>SUM(G4049:G4056)</f>
        <v>153779000</v>
      </c>
      <c r="H4057" s="26">
        <f>SUM(H4049:H4056)</f>
        <v>348388551.65</v>
      </c>
      <c r="I4057" s="26">
        <f t="shared" si="194"/>
        <v>502167551.65</v>
      </c>
    </row>
    <row r="4058" spans="5:9" ht="10.5" customHeight="1">
      <c r="E4058" s="12"/>
      <c r="F4058" s="12"/>
      <c r="G4058" s="29"/>
      <c r="H4058" s="29"/>
      <c r="I4058" s="29"/>
    </row>
    <row r="4059" spans="1:9" ht="12.75">
      <c r="A4059" s="53" t="s">
        <v>132</v>
      </c>
      <c r="B4059" s="53"/>
      <c r="C4059" s="53"/>
      <c r="D4059" s="53"/>
      <c r="E4059" s="53"/>
      <c r="F4059" s="53"/>
      <c r="G4059" s="53"/>
      <c r="H4059" s="53"/>
      <c r="I4059" s="53"/>
    </row>
    <row r="4060" ht="9" customHeight="1"/>
    <row r="4061" spans="1:6" ht="27" customHeight="1">
      <c r="A4061" s="8">
        <v>60</v>
      </c>
      <c r="B4061" s="9"/>
      <c r="C4061" s="8"/>
      <c r="D4061" s="9"/>
      <c r="E4061" s="57" t="s">
        <v>948</v>
      </c>
      <c r="F4061" s="57"/>
    </row>
    <row r="4062" spans="1:6" ht="27" customHeight="1">
      <c r="A4062" s="8"/>
      <c r="B4062" s="9"/>
      <c r="C4062" s="8" t="s">
        <v>767</v>
      </c>
      <c r="D4062" s="9"/>
      <c r="E4062" s="57" t="s">
        <v>768</v>
      </c>
      <c r="F4062" s="57"/>
    </row>
    <row r="4063" spans="4:9" ht="12.75">
      <c r="D4063" s="5" t="s">
        <v>911</v>
      </c>
      <c r="E4063" s="55" t="s">
        <v>199</v>
      </c>
      <c r="F4063" s="55"/>
      <c r="G4063" s="24">
        <v>9779256.74</v>
      </c>
      <c r="H4063" s="24">
        <v>0</v>
      </c>
      <c r="I4063" s="24">
        <f aca="true" t="shared" si="195" ref="I4063:I4076">G4063+H4063</f>
        <v>9779256.74</v>
      </c>
    </row>
    <row r="4064" spans="4:9" ht="12.75">
      <c r="D4064" s="5" t="s">
        <v>912</v>
      </c>
      <c r="E4064" s="55" t="s">
        <v>877</v>
      </c>
      <c r="F4064" s="55"/>
      <c r="G4064" s="24">
        <v>1749743.72</v>
      </c>
      <c r="H4064" s="24">
        <v>0</v>
      </c>
      <c r="I4064" s="24">
        <f t="shared" si="195"/>
        <v>1749743.72</v>
      </c>
    </row>
    <row r="4065" spans="4:9" ht="12.75">
      <c r="D4065" s="5" t="s">
        <v>921</v>
      </c>
      <c r="E4065" s="55" t="s">
        <v>880</v>
      </c>
      <c r="F4065" s="55"/>
      <c r="G4065" s="24">
        <v>52890.22</v>
      </c>
      <c r="H4065" s="24">
        <v>0</v>
      </c>
      <c r="I4065" s="24">
        <f t="shared" si="195"/>
        <v>52890.22</v>
      </c>
    </row>
    <row r="4066" spans="4:9" ht="12.75">
      <c r="D4066" s="5" t="s">
        <v>919</v>
      </c>
      <c r="E4066" s="55" t="s">
        <v>200</v>
      </c>
      <c r="F4066" s="55"/>
      <c r="G4066" s="24">
        <v>178146.08</v>
      </c>
      <c r="H4066" s="24">
        <v>0</v>
      </c>
      <c r="I4066" s="24">
        <f t="shared" si="195"/>
        <v>178146.08</v>
      </c>
    </row>
    <row r="4067" spans="4:9" ht="12.75">
      <c r="D4067" s="5" t="s">
        <v>913</v>
      </c>
      <c r="E4067" s="55" t="s">
        <v>881</v>
      </c>
      <c r="F4067" s="55"/>
      <c r="G4067" s="24">
        <v>4055516.56</v>
      </c>
      <c r="H4067" s="24">
        <v>0</v>
      </c>
      <c r="I4067" s="24">
        <f t="shared" si="195"/>
        <v>4055516.56</v>
      </c>
    </row>
    <row r="4068" spans="4:9" ht="12.75">
      <c r="D4068" s="5" t="s">
        <v>915</v>
      </c>
      <c r="E4068" s="55" t="s">
        <v>879</v>
      </c>
      <c r="F4068" s="55"/>
      <c r="G4068" s="24">
        <v>1975480.38</v>
      </c>
      <c r="H4068" s="24">
        <v>0</v>
      </c>
      <c r="I4068" s="24">
        <f t="shared" si="195"/>
        <v>1975480.38</v>
      </c>
    </row>
    <row r="4069" spans="4:9" ht="12.75">
      <c r="D4069" s="5" t="s">
        <v>916</v>
      </c>
      <c r="E4069" s="55" t="s">
        <v>882</v>
      </c>
      <c r="F4069" s="55"/>
      <c r="G4069" s="24">
        <v>6509571.71</v>
      </c>
      <c r="H4069" s="24">
        <v>0</v>
      </c>
      <c r="I4069" s="24">
        <f t="shared" si="195"/>
        <v>6509571.71</v>
      </c>
    </row>
    <row r="4070" spans="4:9" ht="12.75">
      <c r="D4070" s="5" t="s">
        <v>923</v>
      </c>
      <c r="E4070" s="55" t="s">
        <v>883</v>
      </c>
      <c r="F4070" s="55"/>
      <c r="G4070" s="24">
        <v>301514.75</v>
      </c>
      <c r="H4070" s="24">
        <v>0</v>
      </c>
      <c r="I4070" s="24">
        <f t="shared" si="195"/>
        <v>301514.75</v>
      </c>
    </row>
    <row r="4071" spans="4:9" ht="12.75">
      <c r="D4071" s="5" t="s">
        <v>924</v>
      </c>
      <c r="E4071" s="55" t="s">
        <v>203</v>
      </c>
      <c r="F4071" s="55"/>
      <c r="G4071" s="24">
        <v>638722.94</v>
      </c>
      <c r="H4071" s="24">
        <v>0</v>
      </c>
      <c r="I4071" s="24">
        <f t="shared" si="195"/>
        <v>638722.94</v>
      </c>
    </row>
    <row r="4072" spans="4:9" ht="12.75">
      <c r="D4072" s="5" t="s">
        <v>925</v>
      </c>
      <c r="E4072" s="55" t="s">
        <v>884</v>
      </c>
      <c r="F4072" s="55"/>
      <c r="G4072" s="24">
        <v>1929790.18</v>
      </c>
      <c r="H4072" s="24">
        <v>0</v>
      </c>
      <c r="I4072" s="24">
        <f t="shared" si="195"/>
        <v>1929790.18</v>
      </c>
    </row>
    <row r="4073" spans="4:9" ht="12.75">
      <c r="D4073" s="5" t="s">
        <v>930</v>
      </c>
      <c r="E4073" s="55" t="s">
        <v>209</v>
      </c>
      <c r="F4073" s="55"/>
      <c r="G4073" s="24">
        <v>1066152333.75</v>
      </c>
      <c r="H4073" s="24">
        <v>0</v>
      </c>
      <c r="I4073" s="24">
        <f t="shared" si="195"/>
        <v>1066152333.75</v>
      </c>
    </row>
    <row r="4074" spans="4:9" ht="12.75">
      <c r="D4074" s="5" t="s">
        <v>750</v>
      </c>
      <c r="E4074" s="55" t="s">
        <v>887</v>
      </c>
      <c r="F4074" s="55"/>
      <c r="G4074" s="24">
        <v>193264210.8</v>
      </c>
      <c r="H4074" s="24">
        <v>0</v>
      </c>
      <c r="I4074" s="24">
        <f t="shared" si="195"/>
        <v>193264210.8</v>
      </c>
    </row>
    <row r="4075" spans="4:9" ht="12.75">
      <c r="D4075" s="5" t="s">
        <v>753</v>
      </c>
      <c r="E4075" s="55" t="s">
        <v>211</v>
      </c>
      <c r="F4075" s="55"/>
      <c r="G4075" s="24">
        <v>100000</v>
      </c>
      <c r="H4075" s="24">
        <v>0</v>
      </c>
      <c r="I4075" s="24">
        <f t="shared" si="195"/>
        <v>100000</v>
      </c>
    </row>
    <row r="4076" spans="4:9" ht="13.5" thickBot="1">
      <c r="D4076" s="5" t="s">
        <v>754</v>
      </c>
      <c r="E4076" s="55" t="s">
        <v>212</v>
      </c>
      <c r="F4076" s="55"/>
      <c r="G4076" s="24">
        <v>19680</v>
      </c>
      <c r="H4076" s="24">
        <v>0</v>
      </c>
      <c r="I4076" s="24">
        <f t="shared" si="195"/>
        <v>19680</v>
      </c>
    </row>
    <row r="4077" spans="5:9" ht="12.75">
      <c r="E4077" s="58" t="s">
        <v>342</v>
      </c>
      <c r="F4077" s="58"/>
      <c r="G4077" s="25"/>
      <c r="H4077" s="25"/>
      <c r="I4077" s="25"/>
    </row>
    <row r="4078" spans="4:9" ht="13.5" thickBot="1">
      <c r="D4078" s="5" t="s">
        <v>772</v>
      </c>
      <c r="E4078" s="55" t="s">
        <v>773</v>
      </c>
      <c r="F4078" s="55"/>
      <c r="G4078" s="24">
        <f>SUM(G4063:G4077)</f>
        <v>1286706857.83</v>
      </c>
      <c r="I4078" s="24">
        <f>G4078+H4078</f>
        <v>1286706857.83</v>
      </c>
    </row>
    <row r="4079" spans="5:9" ht="13.5" thickBot="1">
      <c r="E4079" s="56" t="s">
        <v>343</v>
      </c>
      <c r="F4079" s="56"/>
      <c r="G4079" s="26">
        <f>SUM(G4078:G4078)</f>
        <v>1286706857.83</v>
      </c>
      <c r="H4079" s="26">
        <f>SUM(H4078:H4078)</f>
        <v>0</v>
      </c>
      <c r="I4079" s="26">
        <f>G4079+H4079</f>
        <v>1286706857.83</v>
      </c>
    </row>
    <row r="4080" spans="5:9" ht="12.75">
      <c r="E4080" s="58" t="s">
        <v>344</v>
      </c>
      <c r="F4080" s="58"/>
      <c r="G4080" s="25"/>
      <c r="H4080" s="25"/>
      <c r="I4080" s="25"/>
    </row>
    <row r="4081" spans="4:9" ht="13.5" thickBot="1">
      <c r="D4081" s="5" t="s">
        <v>772</v>
      </c>
      <c r="E4081" s="55" t="s">
        <v>773</v>
      </c>
      <c r="F4081" s="55"/>
      <c r="G4081" s="24">
        <f>+G4078</f>
        <v>1286706857.83</v>
      </c>
      <c r="H4081" s="24">
        <v>0</v>
      </c>
      <c r="I4081" s="24">
        <f>G4081+H4081</f>
        <v>1286706857.83</v>
      </c>
    </row>
    <row r="4082" spans="5:9" ht="13.5" thickBot="1">
      <c r="E4082" s="56" t="s">
        <v>118</v>
      </c>
      <c r="F4082" s="56"/>
      <c r="G4082" s="26">
        <f>SUM(G4081:G4081)</f>
        <v>1286706857.83</v>
      </c>
      <c r="H4082" s="26">
        <f>SUM(H4081:H4081)</f>
        <v>0</v>
      </c>
      <c r="I4082" s="26">
        <f>G4082+H4082</f>
        <v>1286706857.83</v>
      </c>
    </row>
    <row r="4083" spans="5:9" ht="8.25" customHeight="1">
      <c r="E4083" s="12"/>
      <c r="F4083" s="12"/>
      <c r="G4083" s="29"/>
      <c r="H4083" s="29"/>
      <c r="I4083" s="29"/>
    </row>
    <row r="4084" spans="1:6" ht="28.5" customHeight="1">
      <c r="A4084" s="8">
        <v>61</v>
      </c>
      <c r="B4084" s="9" t="s">
        <v>766</v>
      </c>
      <c r="C4084" s="8"/>
      <c r="D4084" s="9"/>
      <c r="E4084" s="57" t="s">
        <v>972</v>
      </c>
      <c r="F4084" s="57"/>
    </row>
    <row r="4085" spans="1:6" ht="27.75" customHeight="1">
      <c r="A4085" s="8"/>
      <c r="B4085" s="9"/>
      <c r="C4085" s="8" t="s">
        <v>802</v>
      </c>
      <c r="D4085" s="9"/>
      <c r="E4085" s="57" t="s">
        <v>803</v>
      </c>
      <c r="F4085" s="57"/>
    </row>
    <row r="4086" spans="4:9" ht="12.75">
      <c r="D4086" s="5" t="s">
        <v>911</v>
      </c>
      <c r="E4086" s="55" t="s">
        <v>199</v>
      </c>
      <c r="F4086" s="55"/>
      <c r="G4086" s="24">
        <v>20481141.23</v>
      </c>
      <c r="H4086" s="24">
        <v>0</v>
      </c>
      <c r="I4086" s="24">
        <f aca="true" t="shared" si="196" ref="I4086:I4098">G4086+H4086</f>
        <v>20481141.23</v>
      </c>
    </row>
    <row r="4087" spans="4:9" ht="12.75">
      <c r="D4087" s="5" t="s">
        <v>912</v>
      </c>
      <c r="E4087" s="55" t="s">
        <v>877</v>
      </c>
      <c r="F4087" s="55"/>
      <c r="G4087" s="24">
        <v>3698572.5</v>
      </c>
      <c r="H4087" s="24">
        <v>0</v>
      </c>
      <c r="I4087" s="24">
        <f t="shared" si="196"/>
        <v>3698572.5</v>
      </c>
    </row>
    <row r="4088" spans="4:9" ht="12.75">
      <c r="D4088" s="5" t="s">
        <v>921</v>
      </c>
      <c r="E4088" s="55" t="s">
        <v>880</v>
      </c>
      <c r="F4088" s="55"/>
      <c r="G4088" s="24">
        <v>154819.23</v>
      </c>
      <c r="H4088" s="24">
        <v>0</v>
      </c>
      <c r="I4088" s="24">
        <f t="shared" si="196"/>
        <v>154819.23</v>
      </c>
    </row>
    <row r="4089" spans="4:9" ht="12.75">
      <c r="D4089" s="5" t="s">
        <v>919</v>
      </c>
      <c r="E4089" s="55" t="s">
        <v>200</v>
      </c>
      <c r="F4089" s="55"/>
      <c r="G4089" s="24">
        <v>360995.32</v>
      </c>
      <c r="H4089" s="24">
        <v>0</v>
      </c>
      <c r="I4089" s="24">
        <f t="shared" si="196"/>
        <v>360995.32</v>
      </c>
    </row>
    <row r="4090" spans="4:9" ht="12.75">
      <c r="D4090" s="5" t="s">
        <v>913</v>
      </c>
      <c r="E4090" s="55" t="s">
        <v>881</v>
      </c>
      <c r="F4090" s="55"/>
      <c r="G4090" s="24">
        <v>1608071.67</v>
      </c>
      <c r="H4090" s="24">
        <v>0</v>
      </c>
      <c r="I4090" s="24">
        <f t="shared" si="196"/>
        <v>1608071.67</v>
      </c>
    </row>
    <row r="4091" spans="4:9" ht="12.75">
      <c r="D4091" s="5" t="s">
        <v>915</v>
      </c>
      <c r="E4091" s="55" t="s">
        <v>879</v>
      </c>
      <c r="F4091" s="55"/>
      <c r="G4091" s="24">
        <f>2697538.64+489</f>
        <v>2698027.64</v>
      </c>
      <c r="H4091" s="24">
        <v>63450</v>
      </c>
      <c r="I4091" s="24">
        <f t="shared" si="196"/>
        <v>2761477.64</v>
      </c>
    </row>
    <row r="4092" spans="4:9" ht="12.75">
      <c r="D4092" s="5" t="s">
        <v>916</v>
      </c>
      <c r="E4092" s="55" t="s">
        <v>882</v>
      </c>
      <c r="F4092" s="55"/>
      <c r="G4092" s="24">
        <v>15818112.44</v>
      </c>
      <c r="H4092" s="24">
        <v>3028254.47</v>
      </c>
      <c r="I4092" s="24">
        <f t="shared" si="196"/>
        <v>18846366.91</v>
      </c>
    </row>
    <row r="4093" spans="4:9" ht="12.75">
      <c r="D4093" s="5" t="s">
        <v>924</v>
      </c>
      <c r="E4093" s="55" t="s">
        <v>203</v>
      </c>
      <c r="F4093" s="55"/>
      <c r="G4093" s="24">
        <v>9664.2</v>
      </c>
      <c r="H4093" s="24">
        <v>0</v>
      </c>
      <c r="I4093" s="24">
        <f t="shared" si="196"/>
        <v>9664.2</v>
      </c>
    </row>
    <row r="4094" spans="4:9" ht="12.75">
      <c r="D4094" s="5" t="s">
        <v>925</v>
      </c>
      <c r="E4094" s="55" t="s">
        <v>884</v>
      </c>
      <c r="F4094" s="55"/>
      <c r="G4094" s="24">
        <v>936892.17</v>
      </c>
      <c r="H4094" s="24">
        <v>0</v>
      </c>
      <c r="I4094" s="24">
        <f t="shared" si="196"/>
        <v>936892.17</v>
      </c>
    </row>
    <row r="4095" spans="4:9" ht="12.75">
      <c r="D4095" s="5" t="s">
        <v>749</v>
      </c>
      <c r="E4095" s="55" t="s">
        <v>896</v>
      </c>
      <c r="F4095" s="55"/>
      <c r="G4095" s="7">
        <v>66666666.33</v>
      </c>
      <c r="H4095" s="7">
        <v>0</v>
      </c>
      <c r="I4095" s="7">
        <f t="shared" si="196"/>
        <v>66666666.33</v>
      </c>
    </row>
    <row r="4096" spans="4:9" ht="12.75">
      <c r="D4096" s="5" t="s">
        <v>929</v>
      </c>
      <c r="E4096" s="55" t="s">
        <v>208</v>
      </c>
      <c r="F4096" s="55"/>
      <c r="G4096" s="24">
        <v>1371066.28</v>
      </c>
      <c r="H4096" s="24">
        <v>0</v>
      </c>
      <c r="I4096" s="24">
        <f t="shared" si="196"/>
        <v>1371066.28</v>
      </c>
    </row>
    <row r="4097" spans="4:9" ht="12.75">
      <c r="D4097" s="5" t="s">
        <v>930</v>
      </c>
      <c r="E4097" s="55" t="s">
        <v>209</v>
      </c>
      <c r="F4097" s="55"/>
      <c r="G4097" s="24">
        <v>0</v>
      </c>
      <c r="H4097" s="24">
        <v>1237970</v>
      </c>
      <c r="I4097" s="24">
        <f t="shared" si="196"/>
        <v>1237970</v>
      </c>
    </row>
    <row r="4098" spans="4:9" ht="13.5" thickBot="1">
      <c r="D4098" s="5" t="s">
        <v>754</v>
      </c>
      <c r="E4098" s="55" t="s">
        <v>212</v>
      </c>
      <c r="F4098" s="55"/>
      <c r="G4098" s="24">
        <v>8790</v>
      </c>
      <c r="H4098" s="24">
        <v>0</v>
      </c>
      <c r="I4098" s="24">
        <f t="shared" si="196"/>
        <v>8790</v>
      </c>
    </row>
    <row r="4099" spans="5:9" ht="12.75">
      <c r="E4099" s="58" t="s">
        <v>32</v>
      </c>
      <c r="F4099" s="58"/>
      <c r="G4099" s="25"/>
      <c r="H4099" s="25"/>
      <c r="I4099" s="25"/>
    </row>
    <row r="4100" spans="4:9" ht="12.75">
      <c r="D4100" s="5" t="s">
        <v>772</v>
      </c>
      <c r="E4100" s="55" t="s">
        <v>773</v>
      </c>
      <c r="F4100" s="55"/>
      <c r="G4100" s="24">
        <f>SUM(G4086:G4099)</f>
        <v>113812819.01</v>
      </c>
      <c r="I4100" s="24">
        <f>G4100+H4100</f>
        <v>113812819.01</v>
      </c>
    </row>
    <row r="4101" spans="4:9" ht="12.75">
      <c r="D4101" s="5" t="s">
        <v>778</v>
      </c>
      <c r="E4101" s="55" t="s">
        <v>779</v>
      </c>
      <c r="F4101" s="55"/>
      <c r="H4101" s="24">
        <v>3795689.77</v>
      </c>
      <c r="I4101" s="24">
        <f>G4101+H4101</f>
        <v>3795689.77</v>
      </c>
    </row>
    <row r="4102" spans="4:9" ht="13.5" thickBot="1">
      <c r="D4102" s="5" t="s">
        <v>780</v>
      </c>
      <c r="E4102" s="55" t="s">
        <v>781</v>
      </c>
      <c r="F4102" s="55"/>
      <c r="H4102" s="24">
        <v>533984.7</v>
      </c>
      <c r="I4102" s="24">
        <f>G4102+H4102</f>
        <v>533984.7</v>
      </c>
    </row>
    <row r="4103" spans="5:9" ht="13.5" thickBot="1">
      <c r="E4103" s="56" t="s">
        <v>33</v>
      </c>
      <c r="F4103" s="56"/>
      <c r="G4103" s="26">
        <f>SUM(G4100:G4102)</f>
        <v>113812819.01</v>
      </c>
      <c r="H4103" s="26">
        <f>SUM(H4100:H4102)</f>
        <v>4329674.47</v>
      </c>
      <c r="I4103" s="26">
        <f>G4103+H4103</f>
        <v>118142493.48</v>
      </c>
    </row>
    <row r="4104" spans="5:9" ht="12.75">
      <c r="E4104" s="58" t="s">
        <v>630</v>
      </c>
      <c r="F4104" s="58"/>
      <c r="G4104" s="25"/>
      <c r="H4104" s="25"/>
      <c r="I4104" s="25"/>
    </row>
    <row r="4105" spans="4:9" ht="12.75">
      <c r="D4105" s="5" t="s">
        <v>772</v>
      </c>
      <c r="E4105" s="55" t="s">
        <v>773</v>
      </c>
      <c r="F4105" s="55"/>
      <c r="G4105" s="24">
        <f>+G4100</f>
        <v>113812819.01</v>
      </c>
      <c r="H4105" s="24">
        <v>0</v>
      </c>
      <c r="I4105" s="24">
        <f>G4105+H4105</f>
        <v>113812819.01</v>
      </c>
    </row>
    <row r="4106" spans="4:9" ht="12.75">
      <c r="D4106" s="5" t="s">
        <v>778</v>
      </c>
      <c r="E4106" s="55" t="s">
        <v>779</v>
      </c>
      <c r="F4106" s="55"/>
      <c r="H4106" s="24">
        <f>+H4101</f>
        <v>3795689.77</v>
      </c>
      <c r="I4106" s="24">
        <f>G4106+H4106</f>
        <v>3795689.77</v>
      </c>
    </row>
    <row r="4107" spans="4:9" ht="13.5" thickBot="1">
      <c r="D4107" s="5" t="s">
        <v>780</v>
      </c>
      <c r="E4107" s="55" t="s">
        <v>781</v>
      </c>
      <c r="F4107" s="55"/>
      <c r="G4107" s="24">
        <v>0</v>
      </c>
      <c r="H4107" s="24">
        <f>+H4102</f>
        <v>533984.7</v>
      </c>
      <c r="I4107" s="24">
        <f>G4107+H4107</f>
        <v>533984.7</v>
      </c>
    </row>
    <row r="4108" spans="5:9" ht="13.5" thickBot="1">
      <c r="E4108" s="56" t="s">
        <v>634</v>
      </c>
      <c r="F4108" s="56"/>
      <c r="G4108" s="26">
        <f>SUM(G4105:G4107)</f>
        <v>113812819.01</v>
      </c>
      <c r="H4108" s="26">
        <f>SUM(H4105:H4107)</f>
        <v>4329674.47</v>
      </c>
      <c r="I4108" s="26">
        <f>G4108+H4108</f>
        <v>118142493.48</v>
      </c>
    </row>
    <row r="4110" spans="1:6" ht="12.75">
      <c r="A4110" s="8">
        <v>62</v>
      </c>
      <c r="B4110" s="9" t="s">
        <v>766</v>
      </c>
      <c r="C4110" s="8"/>
      <c r="D4110" s="9"/>
      <c r="E4110" s="57" t="s">
        <v>980</v>
      </c>
      <c r="F4110" s="57"/>
    </row>
    <row r="4111" spans="1:6" ht="12.75">
      <c r="A4111" s="8"/>
      <c r="B4111" s="9"/>
      <c r="C4111" s="8" t="s">
        <v>792</v>
      </c>
      <c r="D4111" s="9"/>
      <c r="E4111" s="57" t="s">
        <v>793</v>
      </c>
      <c r="F4111" s="57"/>
    </row>
    <row r="4112" spans="4:9" ht="12.75">
      <c r="D4112" s="5" t="s">
        <v>911</v>
      </c>
      <c r="E4112" s="55" t="s">
        <v>199</v>
      </c>
      <c r="F4112" s="55"/>
      <c r="G4112" s="24">
        <v>42968918.28</v>
      </c>
      <c r="H4112" s="24">
        <v>0</v>
      </c>
      <c r="I4112" s="24">
        <f aca="true" t="shared" si="197" ref="I4112:I4129">G4112+H4112</f>
        <v>42968918.28</v>
      </c>
    </row>
    <row r="4113" spans="4:9" ht="12.75">
      <c r="D4113" s="5" t="s">
        <v>912</v>
      </c>
      <c r="E4113" s="55" t="s">
        <v>877</v>
      </c>
      <c r="F4113" s="55"/>
      <c r="G4113" s="24">
        <v>7777122.95</v>
      </c>
      <c r="H4113" s="24">
        <v>0</v>
      </c>
      <c r="I4113" s="24">
        <f t="shared" si="197"/>
        <v>7777122.95</v>
      </c>
    </row>
    <row r="4114" spans="4:9" ht="12.75">
      <c r="D4114" s="5" t="s">
        <v>918</v>
      </c>
      <c r="E4114" s="55" t="s">
        <v>878</v>
      </c>
      <c r="F4114" s="55"/>
      <c r="G4114" s="24">
        <v>11448</v>
      </c>
      <c r="H4114" s="24">
        <v>70915</v>
      </c>
      <c r="I4114" s="24">
        <f t="shared" si="197"/>
        <v>82363</v>
      </c>
    </row>
    <row r="4115" spans="4:9" ht="12.75">
      <c r="D4115" s="5" t="s">
        <v>921</v>
      </c>
      <c r="E4115" s="55" t="s">
        <v>880</v>
      </c>
      <c r="F4115" s="55"/>
      <c r="H4115" s="24">
        <v>4200861.43</v>
      </c>
      <c r="I4115" s="24">
        <f t="shared" si="197"/>
        <v>4200861.43</v>
      </c>
    </row>
    <row r="4116" spans="4:9" ht="12.75">
      <c r="D4116" s="5" t="s">
        <v>919</v>
      </c>
      <c r="E4116" s="55" t="s">
        <v>200</v>
      </c>
      <c r="F4116" s="55"/>
      <c r="G4116" s="24">
        <v>618301.21</v>
      </c>
      <c r="H4116" s="24">
        <v>708446.78</v>
      </c>
      <c r="I4116" s="24">
        <f t="shared" si="197"/>
        <v>1326747.99</v>
      </c>
    </row>
    <row r="4117" spans="4:9" ht="12.75">
      <c r="D4117" s="5" t="s">
        <v>922</v>
      </c>
      <c r="E4117" s="55" t="s">
        <v>201</v>
      </c>
      <c r="F4117" s="55"/>
      <c r="I4117" s="24">
        <f t="shared" si="197"/>
        <v>0</v>
      </c>
    </row>
    <row r="4118" spans="4:9" ht="12.75">
      <c r="D4118" s="5" t="s">
        <v>913</v>
      </c>
      <c r="E4118" s="55" t="s">
        <v>881</v>
      </c>
      <c r="F4118" s="55"/>
      <c r="G4118" s="24">
        <v>1138944.62</v>
      </c>
      <c r="H4118" s="24">
        <v>4775878.3</v>
      </c>
      <c r="I4118" s="24">
        <f t="shared" si="197"/>
        <v>5914822.92</v>
      </c>
    </row>
    <row r="4119" spans="4:9" ht="12.75">
      <c r="D4119" s="5" t="s">
        <v>915</v>
      </c>
      <c r="E4119" s="55" t="s">
        <v>879</v>
      </c>
      <c r="F4119" s="55"/>
      <c r="H4119" s="24">
        <v>5779762.05</v>
      </c>
      <c r="I4119" s="24">
        <f t="shared" si="197"/>
        <v>5779762.05</v>
      </c>
    </row>
    <row r="4120" spans="4:9" ht="12.75">
      <c r="D4120" s="5" t="s">
        <v>916</v>
      </c>
      <c r="E4120" s="55" t="s">
        <v>882</v>
      </c>
      <c r="F4120" s="55"/>
      <c r="G4120" s="24">
        <v>342467.48</v>
      </c>
      <c r="H4120" s="24">
        <v>18465158.12</v>
      </c>
      <c r="I4120" s="24">
        <f t="shared" si="197"/>
        <v>18807625.6</v>
      </c>
    </row>
    <row r="4121" spans="4:9" ht="12.75">
      <c r="D4121" s="5" t="s">
        <v>923</v>
      </c>
      <c r="E4121" s="55" t="s">
        <v>883</v>
      </c>
      <c r="F4121" s="55"/>
      <c r="I4121" s="24">
        <f t="shared" si="197"/>
        <v>0</v>
      </c>
    </row>
    <row r="4122" spans="4:9" ht="12.75">
      <c r="D4122" s="5" t="s">
        <v>924</v>
      </c>
      <c r="E4122" s="55" t="s">
        <v>203</v>
      </c>
      <c r="F4122" s="55"/>
      <c r="G4122" s="24">
        <v>58517.44</v>
      </c>
      <c r="H4122" s="24">
        <v>310367.34</v>
      </c>
      <c r="I4122" s="24">
        <f t="shared" si="197"/>
        <v>368884.78</v>
      </c>
    </row>
    <row r="4123" spans="4:9" ht="12.75">
      <c r="D4123" s="5" t="s">
        <v>925</v>
      </c>
      <c r="E4123" s="55" t="s">
        <v>884</v>
      </c>
      <c r="F4123" s="55"/>
      <c r="G4123" s="24">
        <v>228232.05</v>
      </c>
      <c r="H4123" s="24">
        <v>11641948.08</v>
      </c>
      <c r="I4123" s="24">
        <f t="shared" si="197"/>
        <v>11870180.13</v>
      </c>
    </row>
    <row r="4124" spans="4:9" ht="12.75">
      <c r="D4124" s="5" t="s">
        <v>749</v>
      </c>
      <c r="E4124" s="55" t="s">
        <v>896</v>
      </c>
      <c r="F4124" s="55"/>
      <c r="G4124" s="7">
        <v>3360949240</v>
      </c>
      <c r="H4124" s="7"/>
      <c r="I4124" s="7">
        <f t="shared" si="197"/>
        <v>3360949240</v>
      </c>
    </row>
    <row r="4125" spans="4:9" ht="12.75">
      <c r="D4125" s="5" t="s">
        <v>930</v>
      </c>
      <c r="E4125" s="55" t="s">
        <v>209</v>
      </c>
      <c r="F4125" s="55"/>
      <c r="G4125" s="24">
        <v>4505998</v>
      </c>
      <c r="I4125" s="24">
        <f t="shared" si="197"/>
        <v>4505998</v>
      </c>
    </row>
    <row r="4126" spans="4:9" ht="12.75">
      <c r="D4126" s="5" t="s">
        <v>754</v>
      </c>
      <c r="E4126" s="55" t="s">
        <v>212</v>
      </c>
      <c r="F4126" s="55"/>
      <c r="G4126" s="24">
        <v>231870.41</v>
      </c>
      <c r="H4126" s="24">
        <v>70314.38</v>
      </c>
      <c r="I4126" s="24">
        <f t="shared" si="197"/>
        <v>302184.79000000004</v>
      </c>
    </row>
    <row r="4127" spans="4:9" ht="12.75">
      <c r="D4127" s="5" t="s">
        <v>755</v>
      </c>
      <c r="E4127" s="55" t="s">
        <v>213</v>
      </c>
      <c r="F4127" s="55"/>
      <c r="I4127" s="24">
        <f t="shared" si="197"/>
        <v>0</v>
      </c>
    </row>
    <row r="4128" spans="4:9" ht="12.75">
      <c r="D4128" s="5" t="s">
        <v>926</v>
      </c>
      <c r="E4128" s="55" t="s">
        <v>885</v>
      </c>
      <c r="F4128" s="55"/>
      <c r="G4128" s="24">
        <v>199345423.26</v>
      </c>
      <c r="H4128" s="24">
        <v>168965462.89</v>
      </c>
      <c r="I4128" s="24">
        <f t="shared" si="197"/>
        <v>368310886.15</v>
      </c>
    </row>
    <row r="4129" spans="4:9" ht="13.5" thickBot="1">
      <c r="D4129" s="5" t="s">
        <v>927</v>
      </c>
      <c r="E4129" s="55" t="s">
        <v>886</v>
      </c>
      <c r="F4129" s="55"/>
      <c r="G4129" s="24">
        <v>92564.2</v>
      </c>
      <c r="H4129" s="24">
        <v>535919.9</v>
      </c>
      <c r="I4129" s="24">
        <f t="shared" si="197"/>
        <v>628484.1</v>
      </c>
    </row>
    <row r="4130" spans="5:9" ht="12.75">
      <c r="E4130" s="58" t="s">
        <v>712</v>
      </c>
      <c r="F4130" s="58"/>
      <c r="G4130" s="25"/>
      <c r="H4130" s="25"/>
      <c r="I4130" s="25"/>
    </row>
    <row r="4131" spans="4:9" ht="12.75">
      <c r="D4131" s="5" t="s">
        <v>772</v>
      </c>
      <c r="E4131" s="55" t="s">
        <v>773</v>
      </c>
      <c r="F4131" s="55"/>
      <c r="G4131" s="24">
        <f>SUM(G4112:G4130)</f>
        <v>3618269047.8999996</v>
      </c>
      <c r="I4131" s="24">
        <f>G4131+H4131</f>
        <v>3618269047.8999996</v>
      </c>
    </row>
    <row r="4132" spans="4:9" ht="12.75">
      <c r="D4132" s="5" t="s">
        <v>784</v>
      </c>
      <c r="E4132" s="55" t="s">
        <v>785</v>
      </c>
      <c r="F4132" s="55"/>
      <c r="H4132" s="24">
        <f>SUM(H4114:H4131)-H4133-H4134</f>
        <v>55148127.08000001</v>
      </c>
      <c r="I4132" s="24">
        <f>G4132+H4132</f>
        <v>55148127.08000001</v>
      </c>
    </row>
    <row r="4133" spans="4:9" ht="12.75">
      <c r="D4133" s="5" t="s">
        <v>830</v>
      </c>
      <c r="E4133" s="55" t="s">
        <v>906</v>
      </c>
      <c r="F4133" s="55"/>
      <c r="H4133" s="24">
        <v>160101781</v>
      </c>
      <c r="I4133" s="24">
        <f>G4133+H4133</f>
        <v>160101781</v>
      </c>
    </row>
    <row r="4134" spans="4:9" ht="13.5" thickBot="1">
      <c r="D4134" s="5" t="s">
        <v>979</v>
      </c>
      <c r="E4134" s="55" t="s">
        <v>374</v>
      </c>
      <c r="F4134" s="55"/>
      <c r="H4134" s="24">
        <v>275126.19</v>
      </c>
      <c r="I4134" s="24">
        <f>G4134+H4134</f>
        <v>275126.19</v>
      </c>
    </row>
    <row r="4135" spans="5:9" ht="13.5" thickBot="1">
      <c r="E4135" s="56" t="s">
        <v>713</v>
      </c>
      <c r="F4135" s="56"/>
      <c r="G4135" s="26">
        <f>SUM(G4131:G4134)</f>
        <v>3618269047.8999996</v>
      </c>
      <c r="H4135" s="26">
        <f>SUM(H4131:H4134)</f>
        <v>215525034.27</v>
      </c>
      <c r="I4135" s="26">
        <f>G4135+H4135</f>
        <v>3833794082.1699996</v>
      </c>
    </row>
    <row r="4137" spans="1:6" ht="12.75">
      <c r="A4137" s="8"/>
      <c r="B4137" s="9"/>
      <c r="C4137" s="8" t="s">
        <v>831</v>
      </c>
      <c r="D4137" s="9"/>
      <c r="E4137" s="57" t="s">
        <v>832</v>
      </c>
      <c r="F4137" s="57"/>
    </row>
    <row r="4138" spans="4:9" ht="12.75">
      <c r="D4138" s="5" t="s">
        <v>911</v>
      </c>
      <c r="E4138" s="55" t="s">
        <v>199</v>
      </c>
      <c r="F4138" s="55"/>
      <c r="G4138" s="24">
        <v>16528404.68</v>
      </c>
      <c r="H4138" s="24">
        <v>0</v>
      </c>
      <c r="I4138" s="24">
        <f aca="true" t="shared" si="198" ref="I4138:I4148">G4138+H4138</f>
        <v>16528404.68</v>
      </c>
    </row>
    <row r="4139" spans="4:9" ht="12.75">
      <c r="D4139" s="5" t="s">
        <v>912</v>
      </c>
      <c r="E4139" s="55" t="s">
        <v>877</v>
      </c>
      <c r="F4139" s="55"/>
      <c r="G4139" s="24">
        <v>3456937.81</v>
      </c>
      <c r="H4139" s="24">
        <v>0</v>
      </c>
      <c r="I4139" s="24">
        <f t="shared" si="198"/>
        <v>3456937.81</v>
      </c>
    </row>
    <row r="4140" spans="4:9" ht="12.75">
      <c r="D4140" s="5" t="s">
        <v>921</v>
      </c>
      <c r="E4140" s="55" t="s">
        <v>880</v>
      </c>
      <c r="F4140" s="55"/>
      <c r="G4140" s="24">
        <v>61617.48</v>
      </c>
      <c r="H4140" s="24">
        <v>0</v>
      </c>
      <c r="I4140" s="24">
        <f t="shared" si="198"/>
        <v>61617.48</v>
      </c>
    </row>
    <row r="4141" spans="4:9" ht="12.75">
      <c r="D4141" s="5" t="s">
        <v>919</v>
      </c>
      <c r="E4141" s="55" t="s">
        <v>200</v>
      </c>
      <c r="F4141" s="55"/>
      <c r="G4141" s="24">
        <v>946558.59</v>
      </c>
      <c r="H4141" s="24">
        <v>0</v>
      </c>
      <c r="I4141" s="24">
        <f t="shared" si="198"/>
        <v>946558.59</v>
      </c>
    </row>
    <row r="4142" spans="4:9" ht="12.75">
      <c r="D4142" s="5" t="s">
        <v>913</v>
      </c>
      <c r="E4142" s="55" t="s">
        <v>881</v>
      </c>
      <c r="F4142" s="55"/>
      <c r="G4142" s="24">
        <v>482583.9</v>
      </c>
      <c r="H4142" s="24">
        <v>0</v>
      </c>
      <c r="I4142" s="24">
        <f t="shared" si="198"/>
        <v>482583.9</v>
      </c>
    </row>
    <row r="4143" spans="4:9" ht="12.75">
      <c r="D4143" s="5" t="s">
        <v>915</v>
      </c>
      <c r="E4143" s="55" t="s">
        <v>879</v>
      </c>
      <c r="F4143" s="55"/>
      <c r="G4143" s="24">
        <v>274574.25</v>
      </c>
      <c r="H4143" s="24">
        <v>0</v>
      </c>
      <c r="I4143" s="24">
        <f t="shared" si="198"/>
        <v>274574.25</v>
      </c>
    </row>
    <row r="4144" spans="4:9" ht="12.75">
      <c r="D4144" s="5" t="s">
        <v>916</v>
      </c>
      <c r="E4144" s="55" t="s">
        <v>882</v>
      </c>
      <c r="F4144" s="55"/>
      <c r="G4144" s="24">
        <v>138532.5</v>
      </c>
      <c r="H4144" s="24">
        <v>0</v>
      </c>
      <c r="I4144" s="24">
        <f t="shared" si="198"/>
        <v>138532.5</v>
      </c>
    </row>
    <row r="4145" spans="4:9" ht="12.75">
      <c r="D4145" s="5" t="s">
        <v>924</v>
      </c>
      <c r="E4145" s="55" t="s">
        <v>203</v>
      </c>
      <c r="F4145" s="55"/>
      <c r="G4145" s="24">
        <v>23697.09</v>
      </c>
      <c r="H4145" s="24">
        <v>0</v>
      </c>
      <c r="I4145" s="24">
        <f t="shared" si="198"/>
        <v>23697.09</v>
      </c>
    </row>
    <row r="4146" spans="4:9" ht="12.75">
      <c r="D4146" s="5" t="s">
        <v>925</v>
      </c>
      <c r="E4146" s="55" t="s">
        <v>884</v>
      </c>
      <c r="F4146" s="55"/>
      <c r="G4146" s="24">
        <v>311665.5</v>
      </c>
      <c r="H4146" s="24">
        <v>0</v>
      </c>
      <c r="I4146" s="24">
        <f t="shared" si="198"/>
        <v>311665.5</v>
      </c>
    </row>
    <row r="4147" spans="4:9" ht="12.75">
      <c r="D4147" s="5" t="s">
        <v>754</v>
      </c>
      <c r="E4147" s="55" t="s">
        <v>212</v>
      </c>
      <c r="F4147" s="55"/>
      <c r="G4147" s="24">
        <v>33422.61</v>
      </c>
      <c r="H4147" s="24">
        <v>0</v>
      </c>
      <c r="I4147" s="24">
        <f t="shared" si="198"/>
        <v>33422.61</v>
      </c>
    </row>
    <row r="4148" spans="4:9" ht="13.5" thickBot="1">
      <c r="D4148" s="5" t="s">
        <v>927</v>
      </c>
      <c r="E4148" s="55" t="s">
        <v>886</v>
      </c>
      <c r="F4148" s="55"/>
      <c r="G4148" s="24">
        <v>69537.4</v>
      </c>
      <c r="H4148" s="24">
        <v>0</v>
      </c>
      <c r="I4148" s="24">
        <f t="shared" si="198"/>
        <v>69537.4</v>
      </c>
    </row>
    <row r="4149" spans="5:9" ht="12.75">
      <c r="E4149" s="58" t="s">
        <v>277</v>
      </c>
      <c r="F4149" s="58"/>
      <c r="G4149" s="25"/>
      <c r="H4149" s="25"/>
      <c r="I4149" s="25"/>
    </row>
    <row r="4150" spans="4:9" ht="13.5" thickBot="1">
      <c r="D4150" s="5" t="s">
        <v>772</v>
      </c>
      <c r="E4150" s="55" t="s">
        <v>773</v>
      </c>
      <c r="F4150" s="55"/>
      <c r="G4150" s="24">
        <f>SUM(G4138:G4149)</f>
        <v>22327531.809999995</v>
      </c>
      <c r="I4150" s="24">
        <f>G4150+H4150</f>
        <v>22327531.809999995</v>
      </c>
    </row>
    <row r="4151" spans="5:9" ht="13.5" thickBot="1">
      <c r="E4151" s="56" t="s">
        <v>278</v>
      </c>
      <c r="F4151" s="56"/>
      <c r="G4151" s="26">
        <f>SUM(G4150:G4150)</f>
        <v>22327531.809999995</v>
      </c>
      <c r="H4151" s="26">
        <f>SUM(H4150:H4150)</f>
        <v>0</v>
      </c>
      <c r="I4151" s="26">
        <f>G4151+H4151</f>
        <v>22327531.809999995</v>
      </c>
    </row>
    <row r="4153" spans="1:6" ht="12.75">
      <c r="A4153" s="8"/>
      <c r="B4153" s="9"/>
      <c r="C4153" s="8" t="s">
        <v>833</v>
      </c>
      <c r="D4153" s="9"/>
      <c r="E4153" s="57" t="s">
        <v>834</v>
      </c>
      <c r="F4153" s="57"/>
    </row>
    <row r="4154" spans="4:9" ht="12.75">
      <c r="D4154" s="5" t="s">
        <v>911</v>
      </c>
      <c r="E4154" s="55" t="s">
        <v>199</v>
      </c>
      <c r="F4154" s="55"/>
      <c r="G4154" s="24">
        <v>16687230.28</v>
      </c>
      <c r="H4154" s="24">
        <v>0</v>
      </c>
      <c r="I4154" s="24">
        <f aca="true" t="shared" si="199" ref="I4154:I4166">G4154+H4154</f>
        <v>16687230.28</v>
      </c>
    </row>
    <row r="4155" spans="4:9" ht="12.75">
      <c r="D4155" s="5" t="s">
        <v>912</v>
      </c>
      <c r="E4155" s="55" t="s">
        <v>877</v>
      </c>
      <c r="F4155" s="55"/>
      <c r="G4155" s="24">
        <v>3004079.9</v>
      </c>
      <c r="H4155" s="24">
        <v>0</v>
      </c>
      <c r="I4155" s="24">
        <f t="shared" si="199"/>
        <v>3004079.9</v>
      </c>
    </row>
    <row r="4156" spans="4:9" ht="12.75">
      <c r="D4156" s="5" t="s">
        <v>921</v>
      </c>
      <c r="E4156" s="55" t="s">
        <v>880</v>
      </c>
      <c r="F4156" s="55"/>
      <c r="H4156" s="24">
        <v>971838</v>
      </c>
      <c r="I4156" s="24">
        <f t="shared" si="199"/>
        <v>971838</v>
      </c>
    </row>
    <row r="4157" spans="4:9" ht="12.75">
      <c r="D4157" s="5" t="s">
        <v>919</v>
      </c>
      <c r="E4157" s="55" t="s">
        <v>200</v>
      </c>
      <c r="F4157" s="55"/>
      <c r="G4157" s="24">
        <v>271491.41</v>
      </c>
      <c r="H4157" s="24">
        <v>365746.08</v>
      </c>
      <c r="I4157" s="24">
        <f t="shared" si="199"/>
        <v>637237.49</v>
      </c>
    </row>
    <row r="4158" spans="4:9" ht="12.75">
      <c r="D4158" s="5" t="s">
        <v>913</v>
      </c>
      <c r="E4158" s="55" t="s">
        <v>881</v>
      </c>
      <c r="F4158" s="55"/>
      <c r="G4158" s="24">
        <v>392241.11</v>
      </c>
      <c r="H4158" s="24">
        <v>737006.59</v>
      </c>
      <c r="I4158" s="24">
        <f t="shared" si="199"/>
        <v>1129247.7</v>
      </c>
    </row>
    <row r="4159" spans="4:9" ht="12.75">
      <c r="D4159" s="5" t="s">
        <v>915</v>
      </c>
      <c r="E4159" s="55" t="s">
        <v>879</v>
      </c>
      <c r="F4159" s="55"/>
      <c r="G4159" s="24">
        <v>71981.5</v>
      </c>
      <c r="H4159" s="24">
        <v>1023731</v>
      </c>
      <c r="I4159" s="24">
        <f t="shared" si="199"/>
        <v>1095712.5</v>
      </c>
    </row>
    <row r="4160" spans="4:9" ht="12.75">
      <c r="D4160" s="5" t="s">
        <v>916</v>
      </c>
      <c r="E4160" s="55" t="s">
        <v>882</v>
      </c>
      <c r="F4160" s="55"/>
      <c r="G4160" s="24">
        <v>191377.5</v>
      </c>
      <c r="H4160" s="24">
        <v>39318800.2</v>
      </c>
      <c r="I4160" s="24">
        <f t="shared" si="199"/>
        <v>39510177.7</v>
      </c>
    </row>
    <row r="4161" spans="4:9" ht="12.75">
      <c r="D4161" s="5" t="s">
        <v>924</v>
      </c>
      <c r="E4161" s="55" t="s">
        <v>203</v>
      </c>
      <c r="F4161" s="55"/>
      <c r="H4161" s="24">
        <v>182448.48</v>
      </c>
      <c r="I4161" s="24">
        <f t="shared" si="199"/>
        <v>182448.48</v>
      </c>
    </row>
    <row r="4162" spans="4:9" ht="12.75">
      <c r="D4162" s="5" t="s">
        <v>925</v>
      </c>
      <c r="E4162" s="55" t="s">
        <v>884</v>
      </c>
      <c r="F4162" s="55"/>
      <c r="G4162" s="24">
        <v>92224.4</v>
      </c>
      <c r="H4162" s="24">
        <v>1262864</v>
      </c>
      <c r="I4162" s="24">
        <f t="shared" si="199"/>
        <v>1355088.4</v>
      </c>
    </row>
    <row r="4163" spans="4:9" ht="12.75">
      <c r="D4163" s="5" t="s">
        <v>749</v>
      </c>
      <c r="E4163" s="55" t="s">
        <v>896</v>
      </c>
      <c r="F4163" s="55"/>
      <c r="G4163" s="7">
        <v>20000000</v>
      </c>
      <c r="H4163" s="7">
        <v>0</v>
      </c>
      <c r="I4163" s="7">
        <f t="shared" si="199"/>
        <v>20000000</v>
      </c>
    </row>
    <row r="4164" spans="4:9" ht="12.75">
      <c r="D4164" s="5" t="s">
        <v>930</v>
      </c>
      <c r="E4164" s="55" t="s">
        <v>209</v>
      </c>
      <c r="F4164" s="55"/>
      <c r="G4164" s="24">
        <v>79391860.84</v>
      </c>
      <c r="H4164" s="24">
        <v>0</v>
      </c>
      <c r="I4164" s="24">
        <f t="shared" si="199"/>
        <v>79391860.84</v>
      </c>
    </row>
    <row r="4165" spans="4:9" ht="12.75">
      <c r="D4165" s="5" t="s">
        <v>754</v>
      </c>
      <c r="E4165" s="55" t="s">
        <v>212</v>
      </c>
      <c r="F4165" s="55"/>
      <c r="H4165" s="24">
        <v>25412.15</v>
      </c>
      <c r="I4165" s="24">
        <f t="shared" si="199"/>
        <v>25412.15</v>
      </c>
    </row>
    <row r="4166" spans="4:9" ht="13.5" thickBot="1">
      <c r="D4166" s="5" t="s">
        <v>927</v>
      </c>
      <c r="E4166" s="55" t="s">
        <v>886</v>
      </c>
      <c r="F4166" s="55"/>
      <c r="G4166" s="24">
        <v>5700</v>
      </c>
      <c r="I4166" s="24">
        <f t="shared" si="199"/>
        <v>5700</v>
      </c>
    </row>
    <row r="4167" spans="5:9" ht="12.75">
      <c r="E4167" s="58" t="s">
        <v>279</v>
      </c>
      <c r="F4167" s="58"/>
      <c r="G4167" s="25"/>
      <c r="H4167" s="25"/>
      <c r="I4167" s="25"/>
    </row>
    <row r="4168" spans="4:9" ht="12.75">
      <c r="D4168" s="5" t="s">
        <v>772</v>
      </c>
      <c r="E4168" s="55" t="s">
        <v>773</v>
      </c>
      <c r="F4168" s="55"/>
      <c r="G4168" s="24">
        <f>SUM(G4154:G4167)</f>
        <v>120108186.94</v>
      </c>
      <c r="I4168" s="24">
        <f>G4168+H4168</f>
        <v>120108186.94</v>
      </c>
    </row>
    <row r="4169" spans="4:9" ht="13.5" thickBot="1">
      <c r="D4169" s="5" t="s">
        <v>784</v>
      </c>
      <c r="E4169" s="55" t="s">
        <v>785</v>
      </c>
      <c r="F4169" s="55"/>
      <c r="H4169" s="24">
        <v>43887846.5</v>
      </c>
      <c r="I4169" s="24">
        <f>G4169+H4169</f>
        <v>43887846.5</v>
      </c>
    </row>
    <row r="4170" spans="5:9" ht="13.5" thickBot="1">
      <c r="E4170" s="56" t="s">
        <v>280</v>
      </c>
      <c r="F4170" s="56"/>
      <c r="G4170" s="26">
        <f>SUM(G4168:G4169)</f>
        <v>120108186.94</v>
      </c>
      <c r="H4170" s="26">
        <f>SUM(H4168:H4169)</f>
        <v>43887846.5</v>
      </c>
      <c r="I4170" s="26">
        <f>G4170+H4170</f>
        <v>163996033.44</v>
      </c>
    </row>
    <row r="4171" spans="5:9" ht="12.75">
      <c r="E4171" s="58" t="s">
        <v>635</v>
      </c>
      <c r="F4171" s="58"/>
      <c r="G4171" s="25"/>
      <c r="H4171" s="25"/>
      <c r="I4171" s="25"/>
    </row>
    <row r="4172" spans="4:9" ht="12.75">
      <c r="D4172" s="5" t="s">
        <v>772</v>
      </c>
      <c r="E4172" s="55" t="s">
        <v>773</v>
      </c>
      <c r="F4172" s="55"/>
      <c r="G4172" s="24">
        <f>+G4168+G4150+G4131</f>
        <v>3760704766.6499996</v>
      </c>
      <c r="H4172" s="24">
        <v>0</v>
      </c>
      <c r="I4172" s="24">
        <f>G4172+H4172</f>
        <v>3760704766.6499996</v>
      </c>
    </row>
    <row r="4173" spans="4:9" ht="12.75">
      <c r="D4173" s="5" t="s">
        <v>784</v>
      </c>
      <c r="E4173" s="55" t="s">
        <v>785</v>
      </c>
      <c r="F4173" s="55"/>
      <c r="H4173" s="24">
        <f>+H4169+H4132</f>
        <v>99035973.58000001</v>
      </c>
      <c r="I4173" s="24">
        <f>G4173+H4173</f>
        <v>99035973.58000001</v>
      </c>
    </row>
    <row r="4174" spans="4:9" ht="12.75">
      <c r="D4174" s="5" t="s">
        <v>830</v>
      </c>
      <c r="E4174" s="55" t="s">
        <v>906</v>
      </c>
      <c r="F4174" s="55"/>
      <c r="H4174" s="24">
        <f>+H4133</f>
        <v>160101781</v>
      </c>
      <c r="I4174" s="24">
        <f>G4174+H4174</f>
        <v>160101781</v>
      </c>
    </row>
    <row r="4175" spans="4:9" ht="13.5" thickBot="1">
      <c r="D4175" s="5" t="s">
        <v>979</v>
      </c>
      <c r="E4175" s="55" t="s">
        <v>374</v>
      </c>
      <c r="F4175" s="55"/>
      <c r="G4175" s="24">
        <v>0</v>
      </c>
      <c r="H4175" s="24">
        <f>+H4134</f>
        <v>275126.19</v>
      </c>
      <c r="I4175" s="24">
        <f>G4175+H4175</f>
        <v>275126.19</v>
      </c>
    </row>
    <row r="4176" spans="5:9" ht="13.5" thickBot="1">
      <c r="E4176" s="56" t="s">
        <v>636</v>
      </c>
      <c r="F4176" s="56"/>
      <c r="G4176" s="26">
        <f>SUM(G4172:G4175)</f>
        <v>3760704766.6499996</v>
      </c>
      <c r="H4176" s="26">
        <f>SUM(H4172:H4175)</f>
        <v>259412880.77</v>
      </c>
      <c r="I4176" s="26">
        <f>G4176+H4176</f>
        <v>4020117647.4199996</v>
      </c>
    </row>
    <row r="4177" spans="5:9" ht="12.75">
      <c r="E4177" s="12"/>
      <c r="F4177" s="12"/>
      <c r="G4177" s="29"/>
      <c r="H4177" s="29"/>
      <c r="I4177" s="29"/>
    </row>
    <row r="4178" spans="1:9" ht="12.75" customHeight="1">
      <c r="A4178" s="8">
        <v>63</v>
      </c>
      <c r="B4178" s="8" t="s">
        <v>766</v>
      </c>
      <c r="C4178" s="8"/>
      <c r="D4178" s="9"/>
      <c r="E4178" s="57" t="s">
        <v>248</v>
      </c>
      <c r="F4178" s="57"/>
      <c r="G4178" s="37"/>
      <c r="H4178" s="37"/>
      <c r="I4178" s="37"/>
    </row>
    <row r="4179" spans="1:6" ht="12.75" customHeight="1">
      <c r="A4179" s="8"/>
      <c r="B4179" s="8"/>
      <c r="C4179" s="8" t="s">
        <v>845</v>
      </c>
      <c r="D4179" s="9"/>
      <c r="E4179" s="57" t="s">
        <v>846</v>
      </c>
      <c r="F4179" s="57"/>
    </row>
    <row r="4180" spans="2:9" ht="12.75" customHeight="1">
      <c r="B4180" s="4"/>
      <c r="D4180" s="5" t="s">
        <v>911</v>
      </c>
      <c r="E4180" s="55" t="s">
        <v>199</v>
      </c>
      <c r="F4180" s="55"/>
      <c r="G4180" s="24">
        <v>16556287.77</v>
      </c>
      <c r="H4180" s="37"/>
      <c r="I4180" s="37"/>
    </row>
    <row r="4181" spans="2:9" ht="12.75" customHeight="1">
      <c r="B4181" s="4"/>
      <c r="D4181" s="5" t="s">
        <v>912</v>
      </c>
      <c r="E4181" s="55" t="s">
        <v>877</v>
      </c>
      <c r="F4181" s="55"/>
      <c r="G4181" s="24">
        <v>2980038.25</v>
      </c>
      <c r="H4181" s="24">
        <v>0</v>
      </c>
      <c r="I4181" s="24">
        <f aca="true" t="shared" si="200" ref="I4181:I4192">G4180+H4181</f>
        <v>16556287.77</v>
      </c>
    </row>
    <row r="4182" spans="2:9" ht="12.75" customHeight="1">
      <c r="B4182" s="4"/>
      <c r="D4182" s="5" t="s">
        <v>918</v>
      </c>
      <c r="E4182" s="55" t="s">
        <v>878</v>
      </c>
      <c r="F4182" s="55"/>
      <c r="H4182" s="24">
        <v>0</v>
      </c>
      <c r="I4182" s="24">
        <f t="shared" si="200"/>
        <v>2980038.25</v>
      </c>
    </row>
    <row r="4183" spans="2:9" ht="12.75" customHeight="1">
      <c r="B4183" s="4"/>
      <c r="D4183" s="5" t="s">
        <v>921</v>
      </c>
      <c r="E4183" s="55" t="s">
        <v>880</v>
      </c>
      <c r="F4183" s="55"/>
      <c r="G4183" s="24">
        <v>29242.1</v>
      </c>
      <c r="H4183" s="24">
        <v>0</v>
      </c>
      <c r="I4183" s="24">
        <f t="shared" si="200"/>
        <v>0</v>
      </c>
    </row>
    <row r="4184" spans="2:9" ht="12.75" customHeight="1">
      <c r="B4184" s="4"/>
      <c r="D4184" s="5" t="s">
        <v>919</v>
      </c>
      <c r="E4184" s="55" t="s">
        <v>200</v>
      </c>
      <c r="F4184" s="55"/>
      <c r="G4184" s="24">
        <v>463365.17</v>
      </c>
      <c r="H4184" s="24">
        <v>0</v>
      </c>
      <c r="I4184" s="24">
        <f t="shared" si="200"/>
        <v>29242.1</v>
      </c>
    </row>
    <row r="4185" spans="2:9" ht="12.75" customHeight="1">
      <c r="B4185" s="4"/>
      <c r="D4185" s="5" t="s">
        <v>913</v>
      </c>
      <c r="E4185" s="55" t="s">
        <v>881</v>
      </c>
      <c r="F4185" s="55"/>
      <c r="G4185" s="24">
        <v>1931403.41</v>
      </c>
      <c r="H4185" s="24">
        <v>0</v>
      </c>
      <c r="I4185" s="24">
        <f t="shared" si="200"/>
        <v>463365.17</v>
      </c>
    </row>
    <row r="4186" spans="2:9" ht="12.75" customHeight="1">
      <c r="B4186" s="4"/>
      <c r="D4186" s="5" t="s">
        <v>915</v>
      </c>
      <c r="E4186" s="55" t="s">
        <v>879</v>
      </c>
      <c r="F4186" s="55"/>
      <c r="G4186" s="24">
        <v>1217204.85</v>
      </c>
      <c r="H4186" s="24">
        <v>0</v>
      </c>
      <c r="I4186" s="24">
        <f t="shared" si="200"/>
        <v>1931403.41</v>
      </c>
    </row>
    <row r="4187" spans="2:9" ht="12.75" customHeight="1">
      <c r="B4187" s="4"/>
      <c r="D4187" s="5" t="s">
        <v>916</v>
      </c>
      <c r="E4187" s="55" t="s">
        <v>882</v>
      </c>
      <c r="F4187" s="55"/>
      <c r="G4187" s="24">
        <v>130884793.12</v>
      </c>
      <c r="H4187" s="24">
        <v>2617498.35</v>
      </c>
      <c r="I4187" s="24">
        <f t="shared" si="200"/>
        <v>3834703.2</v>
      </c>
    </row>
    <row r="4188" spans="2:9" ht="12.75" customHeight="1">
      <c r="B4188" s="4"/>
      <c r="D4188" s="5" t="s">
        <v>923</v>
      </c>
      <c r="E4188" s="55" t="s">
        <v>883</v>
      </c>
      <c r="F4188" s="55"/>
      <c r="G4188" s="24">
        <v>2032218758.55</v>
      </c>
      <c r="H4188" s="24">
        <v>1534313.92</v>
      </c>
      <c r="I4188" s="24">
        <f t="shared" si="200"/>
        <v>132419107.04</v>
      </c>
    </row>
    <row r="4189" spans="2:9" ht="12.75" customHeight="1">
      <c r="B4189" s="4"/>
      <c r="D4189" s="5" t="s">
        <v>924</v>
      </c>
      <c r="E4189" s="55" t="s">
        <v>203</v>
      </c>
      <c r="F4189" s="55"/>
      <c r="G4189" s="24">
        <v>67507.87</v>
      </c>
      <c r="H4189" s="24">
        <v>0</v>
      </c>
      <c r="I4189" s="24">
        <f t="shared" si="200"/>
        <v>2032218758.55</v>
      </c>
    </row>
    <row r="4190" spans="2:9" ht="12.75" customHeight="1">
      <c r="B4190" s="4"/>
      <c r="D4190" s="5" t="s">
        <v>925</v>
      </c>
      <c r="E4190" s="55" t="s">
        <v>884</v>
      </c>
      <c r="F4190" s="55"/>
      <c r="G4190" s="24">
        <v>610536.69</v>
      </c>
      <c r="H4190" s="24">
        <v>0</v>
      </c>
      <c r="I4190" s="24">
        <f t="shared" si="200"/>
        <v>67507.87</v>
      </c>
    </row>
    <row r="4191" spans="2:9" ht="12.75" customHeight="1">
      <c r="B4191" s="4"/>
      <c r="D4191" s="5" t="s">
        <v>750</v>
      </c>
      <c r="E4191" s="55" t="s">
        <v>887</v>
      </c>
      <c r="F4191" s="55"/>
      <c r="G4191" s="24">
        <v>37494481</v>
      </c>
      <c r="H4191" s="24">
        <v>0</v>
      </c>
      <c r="I4191" s="24">
        <f t="shared" si="200"/>
        <v>610536.69</v>
      </c>
    </row>
    <row r="4192" spans="2:9" ht="12.75" customHeight="1" thickBot="1">
      <c r="B4192" s="4"/>
      <c r="D4192" s="5" t="s">
        <v>754</v>
      </c>
      <c r="E4192" s="55" t="s">
        <v>212</v>
      </c>
      <c r="F4192" s="55"/>
      <c r="G4192" s="24">
        <v>81958</v>
      </c>
      <c r="H4192" s="24">
        <v>0</v>
      </c>
      <c r="I4192" s="24">
        <f t="shared" si="200"/>
        <v>37494481</v>
      </c>
    </row>
    <row r="4193" spans="2:9" ht="12.75" customHeight="1">
      <c r="B4193" s="4"/>
      <c r="E4193" s="58" t="s">
        <v>91</v>
      </c>
      <c r="F4193" s="58"/>
      <c r="G4193" s="25"/>
      <c r="H4193" s="25"/>
      <c r="I4193" s="25"/>
    </row>
    <row r="4194" spans="2:9" ht="12.75" customHeight="1">
      <c r="B4194" s="4"/>
      <c r="D4194" s="5" t="s">
        <v>772</v>
      </c>
      <c r="E4194" s="55" t="s">
        <v>773</v>
      </c>
      <c r="F4194" s="55"/>
      <c r="G4194" s="24">
        <f>SUM(G4180:G4193)</f>
        <v>2224535576.7799997</v>
      </c>
      <c r="I4194" s="24">
        <f>G4194+H4194</f>
        <v>2224535576.7799997</v>
      </c>
    </row>
    <row r="4195" spans="2:9" ht="12.75" customHeight="1">
      <c r="B4195" s="4"/>
      <c r="D4195" s="5" t="s">
        <v>784</v>
      </c>
      <c r="E4195" s="55" t="s">
        <v>785</v>
      </c>
      <c r="F4195" s="55"/>
      <c r="H4195" s="24">
        <v>1278665.7</v>
      </c>
      <c r="I4195" s="24">
        <f>G4195+H4195</f>
        <v>1278665.7</v>
      </c>
    </row>
    <row r="4196" spans="2:9" ht="12.75" customHeight="1" thickBot="1">
      <c r="B4196" s="4"/>
      <c r="D4196" s="5" t="s">
        <v>825</v>
      </c>
      <c r="E4196" s="55" t="s">
        <v>905</v>
      </c>
      <c r="F4196" s="55"/>
      <c r="H4196" s="24">
        <v>2873146.57</v>
      </c>
      <c r="I4196" s="24">
        <f>G4196+H4196</f>
        <v>2873146.57</v>
      </c>
    </row>
    <row r="4197" spans="2:9" ht="13.5" thickBot="1">
      <c r="B4197" s="4"/>
      <c r="E4197" s="56" t="s">
        <v>92</v>
      </c>
      <c r="F4197" s="56"/>
      <c r="G4197" s="26">
        <f>SUM(G4194:G4196)</f>
        <v>2224535576.7799997</v>
      </c>
      <c r="H4197" s="26">
        <f>SUM(H4194:H4196)</f>
        <v>4151812.2699999996</v>
      </c>
      <c r="I4197" s="26">
        <f>G4197+H4197</f>
        <v>2228687389.0499997</v>
      </c>
    </row>
    <row r="4198" spans="2:9" ht="12.75" customHeight="1">
      <c r="B4198" s="4"/>
      <c r="E4198" s="58" t="s">
        <v>344</v>
      </c>
      <c r="F4198" s="58"/>
      <c r="G4198" s="25"/>
      <c r="H4198" s="25"/>
      <c r="I4198" s="25"/>
    </row>
    <row r="4199" spans="2:9" ht="12.75" customHeight="1">
      <c r="B4199" s="4"/>
      <c r="D4199" s="5" t="s">
        <v>772</v>
      </c>
      <c r="E4199" s="55" t="s">
        <v>773</v>
      </c>
      <c r="F4199" s="55"/>
      <c r="G4199" s="24">
        <f>+G4194</f>
        <v>2224535576.7799997</v>
      </c>
      <c r="H4199" s="24">
        <v>0</v>
      </c>
      <c r="I4199" s="24">
        <f>G4199+H4199</f>
        <v>2224535576.7799997</v>
      </c>
    </row>
    <row r="4200" spans="2:9" ht="12.75" customHeight="1">
      <c r="B4200" s="4"/>
      <c r="D4200" s="5" t="s">
        <v>784</v>
      </c>
      <c r="E4200" s="55" t="s">
        <v>785</v>
      </c>
      <c r="F4200" s="55"/>
      <c r="H4200" s="24">
        <f>+H4195</f>
        <v>1278665.7</v>
      </c>
      <c r="I4200" s="24">
        <f>G4200+H4200</f>
        <v>1278665.7</v>
      </c>
    </row>
    <row r="4201" spans="2:9" ht="12.75" customHeight="1" thickBot="1">
      <c r="B4201" s="4"/>
      <c r="D4201" s="5" t="s">
        <v>825</v>
      </c>
      <c r="E4201" s="55" t="s">
        <v>905</v>
      </c>
      <c r="F4201" s="55"/>
      <c r="G4201" s="24">
        <v>0</v>
      </c>
      <c r="H4201" s="24">
        <f>+H4196</f>
        <v>2873146.57</v>
      </c>
      <c r="I4201" s="24">
        <f>G4201+H4201</f>
        <v>2873146.57</v>
      </c>
    </row>
    <row r="4202" spans="2:9" ht="13.5" thickBot="1">
      <c r="B4202" s="4"/>
      <c r="E4202" s="56" t="s">
        <v>345</v>
      </c>
      <c r="F4202" s="56"/>
      <c r="G4202" s="26">
        <f>SUM(G4199:G4201)</f>
        <v>2224535576.7799997</v>
      </c>
      <c r="H4202" s="26">
        <f>SUM(H4199:H4201)</f>
        <v>4151812.2699999996</v>
      </c>
      <c r="I4202" s="26">
        <f>G4202+H4202</f>
        <v>2228687389.0499997</v>
      </c>
    </row>
    <row r="4203" spans="2:9" ht="5.25" customHeight="1">
      <c r="B4203" s="4"/>
      <c r="G4203" s="37"/>
      <c r="H4203" s="37"/>
      <c r="I4203" s="37"/>
    </row>
    <row r="4204" spans="1:9" ht="12.75" customHeight="1">
      <c r="A4204" s="8" t="s">
        <v>766</v>
      </c>
      <c r="B4204" s="8" t="s">
        <v>505</v>
      </c>
      <c r="C4204" s="8"/>
      <c r="D4204" s="9"/>
      <c r="E4204" s="57" t="s">
        <v>249</v>
      </c>
      <c r="F4204" s="57"/>
      <c r="G4204" s="37"/>
      <c r="H4204" s="37"/>
      <c r="I4204" s="37"/>
    </row>
    <row r="4205" spans="1:9" ht="12.75" customHeight="1">
      <c r="A4205" s="8"/>
      <c r="B4205" s="8"/>
      <c r="C4205" s="8" t="s">
        <v>847</v>
      </c>
      <c r="D4205" s="9"/>
      <c r="E4205" s="57" t="s">
        <v>848</v>
      </c>
      <c r="F4205" s="57"/>
      <c r="G4205" s="37"/>
      <c r="H4205" s="37"/>
      <c r="I4205" s="37"/>
    </row>
    <row r="4206" spans="2:9" ht="12.75" customHeight="1">
      <c r="B4206" s="4"/>
      <c r="D4206" s="5" t="s">
        <v>911</v>
      </c>
      <c r="E4206" s="55" t="s">
        <v>199</v>
      </c>
      <c r="F4206" s="55"/>
      <c r="G4206" s="24">
        <v>48924830.66</v>
      </c>
      <c r="H4206" s="24">
        <v>0</v>
      </c>
      <c r="I4206" s="24">
        <f aca="true" t="shared" si="201" ref="I4206:I4219">G4206+H4206</f>
        <v>48924830.66</v>
      </c>
    </row>
    <row r="4207" spans="2:9" ht="12.75" customHeight="1">
      <c r="B4207" s="4"/>
      <c r="D4207" s="5" t="s">
        <v>912</v>
      </c>
      <c r="E4207" s="55" t="s">
        <v>877</v>
      </c>
      <c r="F4207" s="55"/>
      <c r="G4207" s="24">
        <v>8760794.18</v>
      </c>
      <c r="H4207" s="24">
        <v>0</v>
      </c>
      <c r="I4207" s="24">
        <f t="shared" si="201"/>
        <v>8760794.18</v>
      </c>
    </row>
    <row r="4208" spans="2:9" ht="12.75" customHeight="1">
      <c r="B4208" s="4"/>
      <c r="D4208" s="5" t="s">
        <v>918</v>
      </c>
      <c r="E4208" s="55" t="s">
        <v>878</v>
      </c>
      <c r="F4208" s="55"/>
      <c r="G4208" s="24">
        <v>146120</v>
      </c>
      <c r="H4208" s="24">
        <v>0</v>
      </c>
      <c r="I4208" s="24">
        <f t="shared" si="201"/>
        <v>146120</v>
      </c>
    </row>
    <row r="4209" spans="2:9" ht="12.75" customHeight="1">
      <c r="B4209" s="4"/>
      <c r="D4209" s="5" t="s">
        <v>921</v>
      </c>
      <c r="E4209" s="55" t="s">
        <v>880</v>
      </c>
      <c r="F4209" s="55"/>
      <c r="H4209" s="24">
        <v>795592.56</v>
      </c>
      <c r="I4209" s="24">
        <f t="shared" si="201"/>
        <v>795592.56</v>
      </c>
    </row>
    <row r="4210" spans="2:9" ht="12.75" customHeight="1">
      <c r="B4210" s="4"/>
      <c r="D4210" s="5" t="s">
        <v>919</v>
      </c>
      <c r="E4210" s="55" t="s">
        <v>200</v>
      </c>
      <c r="F4210" s="55"/>
      <c r="G4210" s="24">
        <v>0</v>
      </c>
      <c r="H4210" s="24">
        <v>1436627.79</v>
      </c>
      <c r="I4210" s="24">
        <f t="shared" si="201"/>
        <v>1436627.79</v>
      </c>
    </row>
    <row r="4211" spans="2:9" ht="12.75" customHeight="1">
      <c r="B4211" s="4"/>
      <c r="D4211" s="5" t="s">
        <v>913</v>
      </c>
      <c r="E4211" s="55" t="s">
        <v>881</v>
      </c>
      <c r="F4211" s="55"/>
      <c r="G4211" s="24">
        <v>205798.56</v>
      </c>
      <c r="H4211" s="24">
        <v>4333152.89</v>
      </c>
      <c r="I4211" s="24">
        <f t="shared" si="201"/>
        <v>4538951.449999999</v>
      </c>
    </row>
    <row r="4212" spans="2:9" ht="12.75" customHeight="1">
      <c r="B4212" s="4"/>
      <c r="D4212" s="5" t="s">
        <v>915</v>
      </c>
      <c r="E4212" s="55" t="s">
        <v>879</v>
      </c>
      <c r="F4212" s="55"/>
      <c r="G4212" s="24">
        <v>429552.69</v>
      </c>
      <c r="H4212" s="24">
        <v>1670220.34</v>
      </c>
      <c r="I4212" s="24">
        <f t="shared" si="201"/>
        <v>2099773.0300000003</v>
      </c>
    </row>
    <row r="4213" spans="2:9" ht="12.75" customHeight="1">
      <c r="B4213" s="4"/>
      <c r="D4213" s="5" t="s">
        <v>916</v>
      </c>
      <c r="E4213" s="55" t="s">
        <v>882</v>
      </c>
      <c r="F4213" s="55"/>
      <c r="G4213" s="24">
        <v>408102.09</v>
      </c>
      <c r="H4213" s="24">
        <v>4276040.82</v>
      </c>
      <c r="I4213" s="24">
        <f t="shared" si="201"/>
        <v>4684142.91</v>
      </c>
    </row>
    <row r="4214" spans="2:9" ht="12.75" customHeight="1">
      <c r="B4214" s="4"/>
      <c r="D4214" s="5" t="s">
        <v>923</v>
      </c>
      <c r="E4214" s="55" t="s">
        <v>883</v>
      </c>
      <c r="F4214" s="55"/>
      <c r="G4214" s="24">
        <v>12417391</v>
      </c>
      <c r="H4214" s="24">
        <v>0</v>
      </c>
      <c r="I4214" s="24">
        <f t="shared" si="201"/>
        <v>12417391</v>
      </c>
    </row>
    <row r="4215" spans="2:9" ht="12.75" customHeight="1">
      <c r="B4215" s="4"/>
      <c r="D4215" s="5" t="s">
        <v>924</v>
      </c>
      <c r="E4215" s="55" t="s">
        <v>203</v>
      </c>
      <c r="F4215" s="55"/>
      <c r="G4215" s="24">
        <v>98346.69</v>
      </c>
      <c r="H4215" s="24">
        <v>623549.38</v>
      </c>
      <c r="I4215" s="24">
        <f t="shared" si="201"/>
        <v>721896.0700000001</v>
      </c>
    </row>
    <row r="4216" spans="2:9" ht="12.75" customHeight="1">
      <c r="B4216" s="4"/>
      <c r="D4216" s="5" t="s">
        <v>925</v>
      </c>
      <c r="E4216" s="55" t="s">
        <v>884</v>
      </c>
      <c r="F4216" s="55"/>
      <c r="G4216" s="24">
        <v>94867.9</v>
      </c>
      <c r="H4216" s="24">
        <v>1069180</v>
      </c>
      <c r="I4216" s="24">
        <f t="shared" si="201"/>
        <v>1164047.9</v>
      </c>
    </row>
    <row r="4217" spans="2:9" ht="12.75">
      <c r="B4217" s="4"/>
      <c r="D4217" s="5" t="s">
        <v>749</v>
      </c>
      <c r="E4217" s="55" t="s">
        <v>896</v>
      </c>
      <c r="F4217" s="55"/>
      <c r="G4217" s="7">
        <v>43535039</v>
      </c>
      <c r="H4217" s="7">
        <v>0</v>
      </c>
      <c r="I4217" s="7">
        <f t="shared" si="201"/>
        <v>43535039</v>
      </c>
    </row>
    <row r="4218" spans="2:9" ht="12.75" customHeight="1">
      <c r="B4218" s="4"/>
      <c r="D4218" s="5" t="s">
        <v>754</v>
      </c>
      <c r="E4218" s="55" t="s">
        <v>212</v>
      </c>
      <c r="F4218" s="55"/>
      <c r="G4218" s="24">
        <v>48922.32</v>
      </c>
      <c r="H4218" s="24">
        <v>242782</v>
      </c>
      <c r="I4218" s="24">
        <f t="shared" si="201"/>
        <v>291704.32</v>
      </c>
    </row>
    <row r="4219" spans="2:9" ht="12.75" customHeight="1" thickBot="1">
      <c r="B4219" s="4"/>
      <c r="D4219" s="5" t="s">
        <v>927</v>
      </c>
      <c r="E4219" s="55" t="s">
        <v>886</v>
      </c>
      <c r="F4219" s="55"/>
      <c r="G4219" s="24">
        <v>8800</v>
      </c>
      <c r="H4219" s="24">
        <v>1552467.4</v>
      </c>
      <c r="I4219" s="24">
        <f t="shared" si="201"/>
        <v>1561267.4</v>
      </c>
    </row>
    <row r="4220" spans="2:9" ht="12.75" customHeight="1">
      <c r="B4220" s="4"/>
      <c r="E4220" s="58" t="s">
        <v>93</v>
      </c>
      <c r="F4220" s="58"/>
      <c r="G4220" s="25"/>
      <c r="H4220" s="25"/>
      <c r="I4220" s="25"/>
    </row>
    <row r="4221" spans="2:9" ht="12.75" customHeight="1">
      <c r="B4221" s="4"/>
      <c r="D4221" s="5" t="s">
        <v>772</v>
      </c>
      <c r="E4221" s="55" t="s">
        <v>773</v>
      </c>
      <c r="F4221" s="55"/>
      <c r="G4221" s="24">
        <f>SUM(G4206:G4220)</f>
        <v>115078565.09</v>
      </c>
      <c r="I4221" s="24">
        <f aca="true" t="shared" si="202" ref="I4221:I4226">G4221+H4221</f>
        <v>115078565.09</v>
      </c>
    </row>
    <row r="4222" spans="2:9" ht="12.75" customHeight="1">
      <c r="B4222" s="4"/>
      <c r="D4222" s="5" t="s">
        <v>778</v>
      </c>
      <c r="E4222" s="55" t="s">
        <v>779</v>
      </c>
      <c r="F4222" s="55"/>
      <c r="H4222" s="24">
        <v>3074579.8</v>
      </c>
      <c r="I4222" s="24">
        <f t="shared" si="202"/>
        <v>3074579.8</v>
      </c>
    </row>
    <row r="4223" spans="2:9" ht="12.75" customHeight="1">
      <c r="B4223" s="4"/>
      <c r="D4223" s="5" t="s">
        <v>780</v>
      </c>
      <c r="E4223" s="55" t="s">
        <v>781</v>
      </c>
      <c r="F4223" s="55"/>
      <c r="H4223" s="24">
        <v>927148.4</v>
      </c>
      <c r="I4223" s="24">
        <f t="shared" si="202"/>
        <v>927148.4</v>
      </c>
    </row>
    <row r="4224" spans="2:9" ht="12.75" customHeight="1">
      <c r="B4224" s="4"/>
      <c r="D4224" s="5" t="s">
        <v>825</v>
      </c>
      <c r="E4224" s="55" t="s">
        <v>905</v>
      </c>
      <c r="F4224" s="55"/>
      <c r="H4224" s="24">
        <v>11370632.7</v>
      </c>
      <c r="I4224" s="24">
        <f t="shared" si="202"/>
        <v>11370632.7</v>
      </c>
    </row>
    <row r="4225" spans="2:9" ht="12.75" customHeight="1" thickBot="1">
      <c r="B4225" s="4"/>
      <c r="D4225" s="5" t="s">
        <v>979</v>
      </c>
      <c r="E4225" s="55" t="s">
        <v>374</v>
      </c>
      <c r="F4225" s="55"/>
      <c r="H4225" s="24">
        <v>627252.28</v>
      </c>
      <c r="I4225" s="24">
        <f t="shared" si="202"/>
        <v>627252.28</v>
      </c>
    </row>
    <row r="4226" spans="2:9" ht="13.5" thickBot="1">
      <c r="B4226" s="4"/>
      <c r="E4226" s="56" t="s">
        <v>94</v>
      </c>
      <c r="F4226" s="56"/>
      <c r="G4226" s="26">
        <f>SUM(G4221:G4225)</f>
        <v>115078565.09</v>
      </c>
      <c r="H4226" s="26">
        <f>SUM(H4221:H4225)</f>
        <v>15999613.179999998</v>
      </c>
      <c r="I4226" s="26">
        <f t="shared" si="202"/>
        <v>131078178.27</v>
      </c>
    </row>
    <row r="4227" spans="2:9" ht="12.75" customHeight="1">
      <c r="B4227" s="4"/>
      <c r="E4227" s="58" t="s">
        <v>637</v>
      </c>
      <c r="F4227" s="58"/>
      <c r="G4227" s="25"/>
      <c r="H4227" s="25"/>
      <c r="I4227" s="25"/>
    </row>
    <row r="4228" spans="2:9" ht="12.75" customHeight="1">
      <c r="B4228" s="4"/>
      <c r="D4228" s="5" t="s">
        <v>772</v>
      </c>
      <c r="E4228" s="55" t="s">
        <v>773</v>
      </c>
      <c r="F4228" s="55"/>
      <c r="G4228" s="24">
        <f>+G4221</f>
        <v>115078565.09</v>
      </c>
      <c r="H4228" s="24">
        <v>0</v>
      </c>
      <c r="I4228" s="24">
        <f aca="true" t="shared" si="203" ref="I4228:I4233">G4228+H4228</f>
        <v>115078565.09</v>
      </c>
    </row>
    <row r="4229" spans="2:9" ht="12.75" customHeight="1">
      <c r="B4229" s="4"/>
      <c r="D4229" s="5" t="s">
        <v>778</v>
      </c>
      <c r="E4229" s="55" t="s">
        <v>779</v>
      </c>
      <c r="F4229" s="55"/>
      <c r="G4229" s="24">
        <v>0</v>
      </c>
      <c r="H4229" s="24">
        <f>+H4222</f>
        <v>3074579.8</v>
      </c>
      <c r="I4229" s="24">
        <f t="shared" si="203"/>
        <v>3074579.8</v>
      </c>
    </row>
    <row r="4230" spans="2:9" ht="12.75" customHeight="1">
      <c r="B4230" s="4"/>
      <c r="D4230" s="5" t="s">
        <v>780</v>
      </c>
      <c r="E4230" s="55" t="s">
        <v>781</v>
      </c>
      <c r="F4230" s="55"/>
      <c r="G4230" s="24">
        <v>0</v>
      </c>
      <c r="H4230" s="24">
        <f>+H4223</f>
        <v>927148.4</v>
      </c>
      <c r="I4230" s="24">
        <f t="shared" si="203"/>
        <v>927148.4</v>
      </c>
    </row>
    <row r="4231" spans="2:9" ht="12.75" customHeight="1">
      <c r="B4231" s="4"/>
      <c r="D4231" s="5" t="s">
        <v>825</v>
      </c>
      <c r="E4231" s="55" t="s">
        <v>905</v>
      </c>
      <c r="F4231" s="55"/>
      <c r="G4231" s="24">
        <v>0</v>
      </c>
      <c r="H4231" s="24">
        <f>+H4224</f>
        <v>11370632.7</v>
      </c>
      <c r="I4231" s="24">
        <f t="shared" si="203"/>
        <v>11370632.7</v>
      </c>
    </row>
    <row r="4232" spans="2:9" ht="12.75" customHeight="1" thickBot="1">
      <c r="B4232" s="4"/>
      <c r="D4232" s="5" t="s">
        <v>979</v>
      </c>
      <c r="E4232" s="55" t="s">
        <v>374</v>
      </c>
      <c r="F4232" s="55"/>
      <c r="G4232" s="24">
        <v>0</v>
      </c>
      <c r="H4232" s="24">
        <f>+H4225</f>
        <v>627252.28</v>
      </c>
      <c r="I4232" s="24">
        <f t="shared" si="203"/>
        <v>627252.28</v>
      </c>
    </row>
    <row r="4233" spans="2:9" ht="13.5" thickBot="1">
      <c r="B4233" s="4"/>
      <c r="E4233" s="56" t="s">
        <v>638</v>
      </c>
      <c r="F4233" s="56"/>
      <c r="G4233" s="26">
        <f>SUM(G4228:G4232)</f>
        <v>115078565.09</v>
      </c>
      <c r="H4233" s="26">
        <f>SUM(H4228:H4232)</f>
        <v>15999613.179999998</v>
      </c>
      <c r="I4233" s="26">
        <f t="shared" si="203"/>
        <v>131078178.27</v>
      </c>
    </row>
    <row r="4234" spans="2:9" ht="6" customHeight="1">
      <c r="B4234" s="4"/>
      <c r="G4234" s="37"/>
      <c r="H4234" s="37"/>
      <c r="I4234" s="37"/>
    </row>
    <row r="4235" spans="1:9" ht="12.75" customHeight="1">
      <c r="A4235" s="8" t="s">
        <v>766</v>
      </c>
      <c r="B4235" s="8" t="s">
        <v>504</v>
      </c>
      <c r="C4235" s="8"/>
      <c r="D4235" s="9"/>
      <c r="E4235" s="57" t="s">
        <v>250</v>
      </c>
      <c r="F4235" s="57"/>
      <c r="G4235" s="37"/>
      <c r="H4235" s="37"/>
      <c r="I4235" s="37"/>
    </row>
    <row r="4236" spans="1:9" ht="14.25" customHeight="1">
      <c r="A4236" s="8"/>
      <c r="B4236" s="8"/>
      <c r="C4236" s="8" t="s">
        <v>847</v>
      </c>
      <c r="D4236" s="9"/>
      <c r="E4236" s="57" t="s">
        <v>848</v>
      </c>
      <c r="F4236" s="57"/>
      <c r="G4236" s="37"/>
      <c r="H4236" s="37"/>
      <c r="I4236" s="37"/>
    </row>
    <row r="4237" spans="2:9" ht="12.75" customHeight="1">
      <c r="B4237" s="4"/>
      <c r="D4237" s="5" t="s">
        <v>911</v>
      </c>
      <c r="E4237" s="55" t="s">
        <v>199</v>
      </c>
      <c r="F4237" s="55"/>
      <c r="G4237" s="24">
        <v>5831110.02</v>
      </c>
      <c r="H4237" s="37"/>
      <c r="I4237" s="24">
        <f>+G4237+H4237</f>
        <v>5831110.02</v>
      </c>
    </row>
    <row r="4238" spans="2:9" ht="12.75" customHeight="1">
      <c r="B4238" s="4"/>
      <c r="D4238" s="5" t="s">
        <v>912</v>
      </c>
      <c r="E4238" s="55" t="s">
        <v>877</v>
      </c>
      <c r="F4238" s="55"/>
      <c r="G4238" s="24">
        <v>1043476.28</v>
      </c>
      <c r="H4238" s="37"/>
      <c r="I4238" s="24">
        <f aca="true" t="shared" si="204" ref="I4238:I4248">+G4238+H4238</f>
        <v>1043476.28</v>
      </c>
    </row>
    <row r="4239" spans="2:9" ht="12.75" customHeight="1">
      <c r="B4239" s="4"/>
      <c r="D4239" s="5" t="s">
        <v>918</v>
      </c>
      <c r="E4239" s="55" t="s">
        <v>878</v>
      </c>
      <c r="F4239" s="55"/>
      <c r="G4239" s="24">
        <v>0</v>
      </c>
      <c r="H4239" s="37"/>
      <c r="I4239" s="24">
        <f t="shared" si="204"/>
        <v>0</v>
      </c>
    </row>
    <row r="4240" spans="2:9" ht="12.75" customHeight="1">
      <c r="B4240" s="4"/>
      <c r="D4240" s="5" t="s">
        <v>919</v>
      </c>
      <c r="E4240" s="55" t="s">
        <v>200</v>
      </c>
      <c r="F4240" s="55"/>
      <c r="G4240" s="24">
        <v>154124.56</v>
      </c>
      <c r="H4240" s="37"/>
      <c r="I4240" s="24">
        <f t="shared" si="204"/>
        <v>154124.56</v>
      </c>
    </row>
    <row r="4241" spans="2:9" ht="12.75" customHeight="1">
      <c r="B4241" s="4"/>
      <c r="D4241" s="5" t="s">
        <v>913</v>
      </c>
      <c r="E4241" s="55" t="s">
        <v>881</v>
      </c>
      <c r="F4241" s="55"/>
      <c r="G4241" s="24">
        <v>114742.33</v>
      </c>
      <c r="H4241" s="37"/>
      <c r="I4241" s="24">
        <f t="shared" si="204"/>
        <v>114742.33</v>
      </c>
    </row>
    <row r="4242" spans="2:9" ht="12.75" customHeight="1">
      <c r="B4242" s="4"/>
      <c r="D4242" s="5" t="s">
        <v>915</v>
      </c>
      <c r="E4242" s="55" t="s">
        <v>879</v>
      </c>
      <c r="F4242" s="55"/>
      <c r="G4242" s="24">
        <v>33090</v>
      </c>
      <c r="H4242" s="37"/>
      <c r="I4242" s="24">
        <f t="shared" si="204"/>
        <v>33090</v>
      </c>
    </row>
    <row r="4243" spans="2:9" ht="12.75" customHeight="1">
      <c r="B4243" s="4"/>
      <c r="D4243" s="5" t="s">
        <v>916</v>
      </c>
      <c r="E4243" s="55" t="s">
        <v>882</v>
      </c>
      <c r="F4243" s="55"/>
      <c r="G4243" s="24">
        <v>41475</v>
      </c>
      <c r="H4243" s="37"/>
      <c r="I4243" s="24">
        <f t="shared" si="204"/>
        <v>41475</v>
      </c>
    </row>
    <row r="4244" spans="2:9" ht="12.75" customHeight="1">
      <c r="B4244" s="4"/>
      <c r="D4244" s="5" t="s">
        <v>923</v>
      </c>
      <c r="E4244" s="55" t="s">
        <v>883</v>
      </c>
      <c r="F4244" s="55"/>
      <c r="G4244" s="24">
        <v>0</v>
      </c>
      <c r="H4244" s="37"/>
      <c r="I4244" s="24">
        <f t="shared" si="204"/>
        <v>0</v>
      </c>
    </row>
    <row r="4245" spans="2:9" ht="12.75" customHeight="1">
      <c r="B4245" s="4"/>
      <c r="D4245" s="5" t="s">
        <v>924</v>
      </c>
      <c r="E4245" s="55" t="s">
        <v>203</v>
      </c>
      <c r="F4245" s="55"/>
      <c r="G4245" s="24">
        <v>22602.78</v>
      </c>
      <c r="H4245" s="37"/>
      <c r="I4245" s="24">
        <f t="shared" si="204"/>
        <v>22602.78</v>
      </c>
    </row>
    <row r="4246" spans="2:9" ht="12.75" customHeight="1">
      <c r="B4246" s="4"/>
      <c r="D4246" s="5" t="s">
        <v>925</v>
      </c>
      <c r="E4246" s="55" t="s">
        <v>884</v>
      </c>
      <c r="F4246" s="55"/>
      <c r="G4246" s="24">
        <v>116228.8</v>
      </c>
      <c r="H4246" s="37"/>
      <c r="I4246" s="24">
        <f t="shared" si="204"/>
        <v>116228.8</v>
      </c>
    </row>
    <row r="4247" spans="2:9" ht="12.75" customHeight="1">
      <c r="B4247" s="4"/>
      <c r="D4247" s="5" t="s">
        <v>754</v>
      </c>
      <c r="E4247" s="55" t="s">
        <v>212</v>
      </c>
      <c r="F4247" s="55"/>
      <c r="G4247" s="24">
        <v>0</v>
      </c>
      <c r="H4247" s="37"/>
      <c r="I4247" s="24">
        <f t="shared" si="204"/>
        <v>0</v>
      </c>
    </row>
    <row r="4248" spans="2:9" ht="12.75" customHeight="1" thickBot="1">
      <c r="B4248" s="4"/>
      <c r="D4248" s="5" t="s">
        <v>927</v>
      </c>
      <c r="E4248" s="55" t="s">
        <v>886</v>
      </c>
      <c r="F4248" s="55"/>
      <c r="G4248" s="24">
        <v>119165.1</v>
      </c>
      <c r="H4248" s="44"/>
      <c r="I4248" s="24">
        <f t="shared" si="204"/>
        <v>119165.1</v>
      </c>
    </row>
    <row r="4249" spans="2:9" ht="12.75" customHeight="1">
      <c r="B4249" s="4"/>
      <c r="E4249" s="58" t="s">
        <v>93</v>
      </c>
      <c r="F4249" s="58"/>
      <c r="G4249" s="25"/>
      <c r="H4249" s="47"/>
      <c r="I4249" s="25"/>
    </row>
    <row r="4250" spans="2:9" ht="12.75" customHeight="1" thickBot="1">
      <c r="B4250" s="4"/>
      <c r="D4250" s="5" t="s">
        <v>772</v>
      </c>
      <c r="E4250" s="55" t="s">
        <v>773</v>
      </c>
      <c r="F4250" s="55"/>
      <c r="G4250" s="24">
        <f>SUM(G4237:G4249)</f>
        <v>7476014.869999999</v>
      </c>
      <c r="H4250" s="38"/>
      <c r="I4250" s="24">
        <f>+G4250+H4250</f>
        <v>7476014.869999999</v>
      </c>
    </row>
    <row r="4251" spans="2:9" ht="13.5" thickBot="1">
      <c r="B4251" s="4"/>
      <c r="E4251" s="56" t="s">
        <v>94</v>
      </c>
      <c r="F4251" s="56"/>
      <c r="G4251" s="26">
        <f>SUM(G4250:G4250)</f>
        <v>7476014.869999999</v>
      </c>
      <c r="H4251" s="38"/>
      <c r="I4251" s="26">
        <f>G4251+H4251</f>
        <v>7476014.869999999</v>
      </c>
    </row>
    <row r="4252" spans="2:9" ht="12.75" customHeight="1">
      <c r="B4252" s="4"/>
      <c r="E4252" s="58" t="s">
        <v>639</v>
      </c>
      <c r="F4252" s="58"/>
      <c r="G4252" s="25"/>
      <c r="H4252" s="37"/>
      <c r="I4252" s="25"/>
    </row>
    <row r="4253" spans="2:9" ht="12.75" customHeight="1" thickBot="1">
      <c r="B4253" s="4"/>
      <c r="D4253" s="5" t="s">
        <v>772</v>
      </c>
      <c r="E4253" s="55" t="s">
        <v>773</v>
      </c>
      <c r="F4253" s="55"/>
      <c r="G4253" s="24">
        <f>+G4250</f>
        <v>7476014.869999999</v>
      </c>
      <c r="H4253" s="38"/>
      <c r="I4253" s="24">
        <f>+G4253+H4253</f>
        <v>7476014.869999999</v>
      </c>
    </row>
    <row r="4254" spans="2:9" ht="13.5" thickBot="1">
      <c r="B4254" s="4"/>
      <c r="E4254" s="56" t="s">
        <v>640</v>
      </c>
      <c r="F4254" s="56"/>
      <c r="G4254" s="26">
        <f>SUM(G4253:G4253)</f>
        <v>7476014.869999999</v>
      </c>
      <c r="H4254" s="38"/>
      <c r="I4254" s="26">
        <f>G4254+H4254</f>
        <v>7476014.869999999</v>
      </c>
    </row>
    <row r="4255" spans="2:9" ht="6.75" customHeight="1">
      <c r="B4255" s="4"/>
      <c r="G4255" s="37"/>
      <c r="H4255" s="37"/>
      <c r="I4255" s="37"/>
    </row>
    <row r="4256" spans="1:9" ht="12.75" customHeight="1">
      <c r="A4256" s="8" t="s">
        <v>766</v>
      </c>
      <c r="B4256" s="8" t="s">
        <v>503</v>
      </c>
      <c r="C4256" s="8"/>
      <c r="D4256" s="9"/>
      <c r="E4256" s="57" t="s">
        <v>251</v>
      </c>
      <c r="F4256" s="57"/>
      <c r="H4256" s="37"/>
      <c r="I4256" s="37"/>
    </row>
    <row r="4257" spans="1:9" ht="14.25" customHeight="1">
      <c r="A4257" s="8"/>
      <c r="B4257" s="8"/>
      <c r="C4257" s="8" t="s">
        <v>847</v>
      </c>
      <c r="D4257" s="9"/>
      <c r="E4257" s="57" t="s">
        <v>848</v>
      </c>
      <c r="F4257" s="57"/>
      <c r="G4257" s="37"/>
      <c r="H4257" s="37"/>
      <c r="I4257" s="37"/>
    </row>
    <row r="4258" spans="2:9" ht="12.75" customHeight="1">
      <c r="B4258" s="4"/>
      <c r="D4258" s="5" t="s">
        <v>911</v>
      </c>
      <c r="E4258" s="55" t="s">
        <v>199</v>
      </c>
      <c r="F4258" s="55"/>
      <c r="G4258" s="24">
        <v>3498929.52</v>
      </c>
      <c r="H4258" s="24">
        <v>0</v>
      </c>
      <c r="I4258" s="24">
        <f aca="true" t="shared" si="205" ref="I4258:I4269">G4258+H4258</f>
        <v>3498929.52</v>
      </c>
    </row>
    <row r="4259" spans="2:9" ht="12.75" customHeight="1">
      <c r="B4259" s="4"/>
      <c r="D4259" s="5" t="s">
        <v>912</v>
      </c>
      <c r="E4259" s="55" t="s">
        <v>877</v>
      </c>
      <c r="F4259" s="55"/>
      <c r="G4259" s="24">
        <v>626015.93</v>
      </c>
      <c r="H4259" s="24">
        <v>0</v>
      </c>
      <c r="I4259" s="24">
        <f t="shared" si="205"/>
        <v>626015.93</v>
      </c>
    </row>
    <row r="4260" spans="2:9" ht="12.75" customHeight="1">
      <c r="B4260" s="4"/>
      <c r="D4260" s="5" t="s">
        <v>918</v>
      </c>
      <c r="E4260" s="55" t="s">
        <v>878</v>
      </c>
      <c r="F4260" s="55"/>
      <c r="G4260" s="24">
        <v>900</v>
      </c>
      <c r="H4260" s="24">
        <v>0</v>
      </c>
      <c r="I4260" s="24">
        <f t="shared" si="205"/>
        <v>900</v>
      </c>
    </row>
    <row r="4261" spans="2:9" ht="12.75" customHeight="1">
      <c r="B4261" s="4"/>
      <c r="D4261" s="5" t="s">
        <v>921</v>
      </c>
      <c r="E4261" s="55" t="s">
        <v>880</v>
      </c>
      <c r="F4261" s="55"/>
      <c r="H4261" s="24">
        <v>3770</v>
      </c>
      <c r="I4261" s="24">
        <f t="shared" si="205"/>
        <v>3770</v>
      </c>
    </row>
    <row r="4262" spans="2:9" ht="12.75" customHeight="1">
      <c r="B4262" s="4"/>
      <c r="D4262" s="5" t="s">
        <v>919</v>
      </c>
      <c r="E4262" s="55" t="s">
        <v>200</v>
      </c>
      <c r="F4262" s="55"/>
      <c r="G4262" s="24">
        <v>17360</v>
      </c>
      <c r="H4262" s="24">
        <v>79904</v>
      </c>
      <c r="I4262" s="24">
        <f t="shared" si="205"/>
        <v>97264</v>
      </c>
    </row>
    <row r="4263" spans="2:9" ht="12.75" customHeight="1">
      <c r="B4263" s="4"/>
      <c r="D4263" s="5" t="s">
        <v>913</v>
      </c>
      <c r="E4263" s="55" t="s">
        <v>881</v>
      </c>
      <c r="F4263" s="55"/>
      <c r="G4263" s="24">
        <v>6190.68</v>
      </c>
      <c r="H4263" s="24">
        <v>57599.19</v>
      </c>
      <c r="I4263" s="24">
        <f t="shared" si="205"/>
        <v>63789.87</v>
      </c>
    </row>
    <row r="4264" spans="2:9" ht="12.75" customHeight="1">
      <c r="B4264" s="4"/>
      <c r="D4264" s="5" t="s">
        <v>915</v>
      </c>
      <c r="E4264" s="55" t="s">
        <v>879</v>
      </c>
      <c r="F4264" s="55"/>
      <c r="G4264" s="24">
        <v>5580.4</v>
      </c>
      <c r="H4264" s="24">
        <v>157864.98</v>
      </c>
      <c r="I4264" s="24">
        <f t="shared" si="205"/>
        <v>163445.38</v>
      </c>
    </row>
    <row r="4265" spans="2:9" ht="12.75" customHeight="1">
      <c r="B4265" s="4"/>
      <c r="D4265" s="5" t="s">
        <v>916</v>
      </c>
      <c r="E4265" s="55" t="s">
        <v>882</v>
      </c>
      <c r="F4265" s="55"/>
      <c r="G4265" s="24">
        <v>60064.5</v>
      </c>
      <c r="H4265" s="24">
        <v>2753740.95</v>
      </c>
      <c r="I4265" s="24">
        <f t="shared" si="205"/>
        <v>2813805.45</v>
      </c>
    </row>
    <row r="4266" spans="2:9" ht="12.75" customHeight="1">
      <c r="B4266" s="4"/>
      <c r="D4266" s="5" t="s">
        <v>923</v>
      </c>
      <c r="E4266" s="55" t="s">
        <v>883</v>
      </c>
      <c r="F4266" s="55"/>
      <c r="G4266" s="24">
        <v>0</v>
      </c>
      <c r="H4266" s="24">
        <v>13807932.28</v>
      </c>
      <c r="I4266" s="24">
        <f t="shared" si="205"/>
        <v>13807932.28</v>
      </c>
    </row>
    <row r="4267" spans="2:9" ht="12.75" customHeight="1">
      <c r="B4267" s="4"/>
      <c r="D4267" s="5" t="s">
        <v>924</v>
      </c>
      <c r="E4267" s="55" t="s">
        <v>203</v>
      </c>
      <c r="F4267" s="55"/>
      <c r="G4267" s="24">
        <v>7947.2</v>
      </c>
      <c r="H4267" s="24">
        <v>0</v>
      </c>
      <c r="I4267" s="24">
        <f t="shared" si="205"/>
        <v>7947.2</v>
      </c>
    </row>
    <row r="4268" spans="2:9" ht="12.75" customHeight="1">
      <c r="B4268" s="4"/>
      <c r="D4268" s="5" t="s">
        <v>925</v>
      </c>
      <c r="E4268" s="55" t="s">
        <v>884</v>
      </c>
      <c r="F4268" s="55"/>
      <c r="G4268" s="24">
        <v>33760.58</v>
      </c>
      <c r="H4268" s="24">
        <v>139654.83</v>
      </c>
      <c r="I4268" s="24">
        <f t="shared" si="205"/>
        <v>173415.40999999997</v>
      </c>
    </row>
    <row r="4269" spans="2:9" ht="12.75" customHeight="1" thickBot="1">
      <c r="B4269" s="4"/>
      <c r="D4269" s="5" t="s">
        <v>754</v>
      </c>
      <c r="E4269" s="55" t="s">
        <v>212</v>
      </c>
      <c r="F4269" s="55"/>
      <c r="G4269" s="24">
        <v>2914</v>
      </c>
      <c r="H4269" s="24">
        <v>0</v>
      </c>
      <c r="I4269" s="24">
        <f t="shared" si="205"/>
        <v>2914</v>
      </c>
    </row>
    <row r="4270" spans="2:9" ht="12.75" customHeight="1">
      <c r="B4270" s="4"/>
      <c r="E4270" s="58" t="s">
        <v>93</v>
      </c>
      <c r="F4270" s="58"/>
      <c r="G4270" s="25"/>
      <c r="H4270" s="25"/>
      <c r="I4270" s="25"/>
    </row>
    <row r="4271" spans="2:9" ht="12.75" customHeight="1">
      <c r="B4271" s="4"/>
      <c r="D4271" s="5" t="s">
        <v>772</v>
      </c>
      <c r="E4271" s="55" t="s">
        <v>773</v>
      </c>
      <c r="F4271" s="55"/>
      <c r="G4271" s="24">
        <f>SUM(G4258:G4270)</f>
        <v>4259662.8100000005</v>
      </c>
      <c r="I4271" s="24">
        <f>G4271+H4271</f>
        <v>4259662.8100000005</v>
      </c>
    </row>
    <row r="4272" spans="2:9" ht="12.75" customHeight="1" thickBot="1">
      <c r="B4272" s="4"/>
      <c r="D4272" s="5" t="s">
        <v>784</v>
      </c>
      <c r="E4272" s="55" t="s">
        <v>785</v>
      </c>
      <c r="F4272" s="55"/>
      <c r="H4272" s="24">
        <f>SUM(H4258:H4271)</f>
        <v>17000466.229999997</v>
      </c>
      <c r="I4272" s="24">
        <f>G4272+H4272</f>
        <v>17000466.229999997</v>
      </c>
    </row>
    <row r="4273" spans="2:9" ht="13.5" thickBot="1">
      <c r="B4273" s="4"/>
      <c r="E4273" s="56" t="s">
        <v>94</v>
      </c>
      <c r="F4273" s="56"/>
      <c r="G4273" s="26">
        <f>SUM(G4271:G4272)</f>
        <v>4259662.8100000005</v>
      </c>
      <c r="H4273" s="26">
        <f>SUM(H4271:H4272)</f>
        <v>17000466.229999997</v>
      </c>
      <c r="I4273" s="26">
        <f>G4273+H4273</f>
        <v>21260129.04</v>
      </c>
    </row>
    <row r="4274" spans="2:9" ht="12.75" customHeight="1">
      <c r="B4274" s="4"/>
      <c r="E4274" s="58" t="s">
        <v>641</v>
      </c>
      <c r="F4274" s="58"/>
      <c r="G4274" s="25"/>
      <c r="H4274" s="25"/>
      <c r="I4274" s="25"/>
    </row>
    <row r="4275" spans="2:9" ht="12.75" customHeight="1">
      <c r="B4275" s="4"/>
      <c r="D4275" s="5" t="s">
        <v>772</v>
      </c>
      <c r="E4275" s="55" t="s">
        <v>773</v>
      </c>
      <c r="F4275" s="55"/>
      <c r="G4275" s="24">
        <f>+G4271</f>
        <v>4259662.8100000005</v>
      </c>
      <c r="H4275" s="24">
        <v>0</v>
      </c>
      <c r="I4275" s="24">
        <f>G4275+H4275</f>
        <v>4259662.8100000005</v>
      </c>
    </row>
    <row r="4276" spans="2:9" ht="12.75" customHeight="1" thickBot="1">
      <c r="B4276" s="4"/>
      <c r="D4276" s="5" t="s">
        <v>784</v>
      </c>
      <c r="E4276" s="55" t="s">
        <v>785</v>
      </c>
      <c r="F4276" s="55"/>
      <c r="G4276" s="24">
        <v>0</v>
      </c>
      <c r="H4276" s="24">
        <f>+H4272</f>
        <v>17000466.229999997</v>
      </c>
      <c r="I4276" s="24">
        <f>G4276+H4276</f>
        <v>17000466.229999997</v>
      </c>
    </row>
    <row r="4277" spans="2:9" ht="13.5" thickBot="1">
      <c r="B4277" s="4"/>
      <c r="E4277" s="56" t="s">
        <v>642</v>
      </c>
      <c r="F4277" s="56"/>
      <c r="G4277" s="26">
        <f>SUM(G4275:G4276)</f>
        <v>4259662.8100000005</v>
      </c>
      <c r="H4277" s="26">
        <f>SUM(H4275:H4276)</f>
        <v>17000466.229999997</v>
      </c>
      <c r="I4277" s="26">
        <f>G4277+H4277</f>
        <v>21260129.04</v>
      </c>
    </row>
    <row r="4278" spans="2:9" ht="12.75" customHeight="1">
      <c r="B4278" s="4"/>
      <c r="E4278" s="58" t="s">
        <v>643</v>
      </c>
      <c r="F4278" s="58"/>
      <c r="G4278" s="25"/>
      <c r="H4278" s="25"/>
      <c r="I4278" s="25"/>
    </row>
    <row r="4279" spans="2:9" ht="12.75" customHeight="1">
      <c r="B4279" s="4"/>
      <c r="D4279" s="5" t="s">
        <v>772</v>
      </c>
      <c r="E4279" s="55" t="s">
        <v>773</v>
      </c>
      <c r="F4279" s="55"/>
      <c r="G4279" s="24">
        <f>+G4275+G4253+G4228+G4199</f>
        <v>2351349819.5499997</v>
      </c>
      <c r="H4279" s="24">
        <v>0</v>
      </c>
      <c r="I4279" s="24">
        <f aca="true" t="shared" si="206" ref="I4279:I4285">G4279+H4279</f>
        <v>2351349819.5499997</v>
      </c>
    </row>
    <row r="4280" spans="2:9" ht="12.75" customHeight="1">
      <c r="B4280" s="4"/>
      <c r="D4280" s="5" t="s">
        <v>784</v>
      </c>
      <c r="E4280" s="55" t="s">
        <v>785</v>
      </c>
      <c r="F4280" s="55"/>
      <c r="G4280" s="24">
        <v>0</v>
      </c>
      <c r="H4280" s="24">
        <f>+H4276+H4200</f>
        <v>18279131.929999996</v>
      </c>
      <c r="I4280" s="24">
        <f t="shared" si="206"/>
        <v>18279131.929999996</v>
      </c>
    </row>
    <row r="4281" spans="2:9" ht="12.75" customHeight="1">
      <c r="B4281" s="4"/>
      <c r="D4281" s="5" t="s">
        <v>778</v>
      </c>
      <c r="E4281" s="55" t="s">
        <v>779</v>
      </c>
      <c r="F4281" s="55"/>
      <c r="G4281" s="24">
        <v>0</v>
      </c>
      <c r="H4281" s="24">
        <f>+H4229</f>
        <v>3074579.8</v>
      </c>
      <c r="I4281" s="24">
        <f t="shared" si="206"/>
        <v>3074579.8</v>
      </c>
    </row>
    <row r="4282" spans="2:9" ht="12.75" customHeight="1">
      <c r="B4282" s="4"/>
      <c r="D4282" s="5" t="s">
        <v>780</v>
      </c>
      <c r="E4282" s="55" t="s">
        <v>781</v>
      </c>
      <c r="F4282" s="55"/>
      <c r="G4282" s="24">
        <v>0</v>
      </c>
      <c r="H4282" s="24">
        <f>+H4230</f>
        <v>927148.4</v>
      </c>
      <c r="I4282" s="24">
        <f t="shared" si="206"/>
        <v>927148.4</v>
      </c>
    </row>
    <row r="4283" spans="2:9" ht="12.75" customHeight="1">
      <c r="B4283" s="4"/>
      <c r="D4283" s="5" t="s">
        <v>825</v>
      </c>
      <c r="E4283" s="55" t="s">
        <v>905</v>
      </c>
      <c r="F4283" s="55"/>
      <c r="G4283" s="24">
        <v>0</v>
      </c>
      <c r="H4283" s="24">
        <f>+H4231+H4201</f>
        <v>14243779.27</v>
      </c>
      <c r="I4283" s="24">
        <f t="shared" si="206"/>
        <v>14243779.27</v>
      </c>
    </row>
    <row r="4284" spans="2:9" ht="12.75" customHeight="1" thickBot="1">
      <c r="B4284" s="4"/>
      <c r="D4284" s="5" t="s">
        <v>979</v>
      </c>
      <c r="E4284" s="55" t="s">
        <v>374</v>
      </c>
      <c r="F4284" s="55"/>
      <c r="G4284" s="24">
        <v>0</v>
      </c>
      <c r="H4284" s="24">
        <f>+H4232</f>
        <v>627252.28</v>
      </c>
      <c r="I4284" s="24">
        <f t="shared" si="206"/>
        <v>627252.28</v>
      </c>
    </row>
    <row r="4285" spans="2:9" ht="12.75" customHeight="1" thickBot="1">
      <c r="B4285" s="4"/>
      <c r="E4285" s="56" t="s">
        <v>644</v>
      </c>
      <c r="F4285" s="56"/>
      <c r="G4285" s="26">
        <f>SUM(G4279:G4284)</f>
        <v>2351349819.5499997</v>
      </c>
      <c r="H4285" s="26">
        <f>SUM(H4279:H4284)</f>
        <v>37151891.67999999</v>
      </c>
      <c r="I4285" s="26">
        <f t="shared" si="206"/>
        <v>2388501711.2299995</v>
      </c>
    </row>
    <row r="4286" spans="2:9" ht="6.75" customHeight="1">
      <c r="B4286" s="4"/>
      <c r="E4286" s="12"/>
      <c r="F4286" s="12"/>
      <c r="G4286" s="37"/>
      <c r="H4286" s="37"/>
      <c r="I4286" s="37"/>
    </row>
    <row r="4287" spans="1:6" ht="12.75">
      <c r="A4287" s="8">
        <v>64</v>
      </c>
      <c r="B4287" s="9" t="s">
        <v>766</v>
      </c>
      <c r="C4287" s="8"/>
      <c r="D4287" s="9"/>
      <c r="E4287" s="57" t="s">
        <v>257</v>
      </c>
      <c r="F4287" s="57"/>
    </row>
    <row r="4288" spans="1:6" ht="25.5" customHeight="1">
      <c r="A4288" s="8"/>
      <c r="B4288" s="9"/>
      <c r="C4288" s="8" t="s">
        <v>802</v>
      </c>
      <c r="D4288" s="9"/>
      <c r="E4288" s="57" t="s">
        <v>803</v>
      </c>
      <c r="F4288" s="57"/>
    </row>
    <row r="4289" spans="4:9" ht="12.75">
      <c r="D4289" s="5" t="s">
        <v>911</v>
      </c>
      <c r="E4289" s="55" t="s">
        <v>199</v>
      </c>
      <c r="F4289" s="55"/>
      <c r="G4289" s="24">
        <v>205989076</v>
      </c>
      <c r="H4289" s="24">
        <v>0</v>
      </c>
      <c r="I4289" s="24">
        <f aca="true" t="shared" si="207" ref="I4289:I4301">G4289+H4289</f>
        <v>205989076</v>
      </c>
    </row>
    <row r="4290" spans="4:9" ht="12.75">
      <c r="D4290" s="5" t="s">
        <v>912</v>
      </c>
      <c r="E4290" s="55" t="s">
        <v>877</v>
      </c>
      <c r="F4290" s="55"/>
      <c r="G4290" s="24">
        <v>36880149.91</v>
      </c>
      <c r="H4290" s="24">
        <v>0</v>
      </c>
      <c r="I4290" s="24">
        <f t="shared" si="207"/>
        <v>36880149.91</v>
      </c>
    </row>
    <row r="4291" spans="4:9" ht="12.75">
      <c r="D4291" s="5" t="s">
        <v>918</v>
      </c>
      <c r="E4291" s="55" t="s">
        <v>878</v>
      </c>
      <c r="F4291" s="55"/>
      <c r="G4291" s="24">
        <v>613458.08</v>
      </c>
      <c r="H4291" s="24">
        <v>0</v>
      </c>
      <c r="I4291" s="24">
        <f t="shared" si="207"/>
        <v>613458.08</v>
      </c>
    </row>
    <row r="4292" spans="4:9" ht="12.75">
      <c r="D4292" s="5" t="s">
        <v>919</v>
      </c>
      <c r="E4292" s="55" t="s">
        <v>200</v>
      </c>
      <c r="F4292" s="55"/>
      <c r="G4292" s="24">
        <v>4381672.23</v>
      </c>
      <c r="H4292" s="24">
        <v>0</v>
      </c>
      <c r="I4292" s="24">
        <f t="shared" si="207"/>
        <v>4381672.23</v>
      </c>
    </row>
    <row r="4293" spans="4:9" ht="12.75">
      <c r="D4293" s="5" t="s">
        <v>913</v>
      </c>
      <c r="E4293" s="55" t="s">
        <v>881</v>
      </c>
      <c r="F4293" s="55"/>
      <c r="G4293" s="24">
        <v>4991721.47</v>
      </c>
      <c r="H4293" s="24">
        <v>0</v>
      </c>
      <c r="I4293" s="24">
        <f t="shared" si="207"/>
        <v>4991721.47</v>
      </c>
    </row>
    <row r="4294" spans="4:9" ht="12.75">
      <c r="D4294" s="5" t="s">
        <v>915</v>
      </c>
      <c r="E4294" s="55" t="s">
        <v>879</v>
      </c>
      <c r="F4294" s="55"/>
      <c r="G4294" s="24">
        <v>1970479.67</v>
      </c>
      <c r="H4294" s="24">
        <v>0</v>
      </c>
      <c r="I4294" s="24">
        <f t="shared" si="207"/>
        <v>1970479.67</v>
      </c>
    </row>
    <row r="4295" spans="4:9" ht="12.75">
      <c r="D4295" s="5" t="s">
        <v>916</v>
      </c>
      <c r="E4295" s="55" t="s">
        <v>882</v>
      </c>
      <c r="F4295" s="55"/>
      <c r="G4295" s="24">
        <v>9665480.49</v>
      </c>
      <c r="H4295" s="24">
        <v>881572.89</v>
      </c>
      <c r="I4295" s="24">
        <f t="shared" si="207"/>
        <v>10547053.38</v>
      </c>
    </row>
    <row r="4296" spans="4:9" ht="12.75">
      <c r="D4296" s="5" t="s">
        <v>923</v>
      </c>
      <c r="E4296" s="55" t="s">
        <v>883</v>
      </c>
      <c r="F4296" s="55"/>
      <c r="G4296" s="24">
        <v>553380</v>
      </c>
      <c r="H4296" s="24">
        <v>0</v>
      </c>
      <c r="I4296" s="24">
        <f t="shared" si="207"/>
        <v>553380</v>
      </c>
    </row>
    <row r="4297" spans="4:9" ht="12.75">
      <c r="D4297" s="5" t="s">
        <v>924</v>
      </c>
      <c r="E4297" s="55" t="s">
        <v>203</v>
      </c>
      <c r="F4297" s="55"/>
      <c r="G4297" s="24">
        <v>1450754.95</v>
      </c>
      <c r="H4297" s="24">
        <v>0</v>
      </c>
      <c r="I4297" s="24">
        <f t="shared" si="207"/>
        <v>1450754.95</v>
      </c>
    </row>
    <row r="4298" spans="4:9" ht="12.75">
      <c r="D4298" s="5" t="s">
        <v>925</v>
      </c>
      <c r="E4298" s="55" t="s">
        <v>884</v>
      </c>
      <c r="F4298" s="55"/>
      <c r="G4298" s="24">
        <v>7730913.75</v>
      </c>
      <c r="H4298" s="24">
        <v>0</v>
      </c>
      <c r="I4298" s="24">
        <f t="shared" si="207"/>
        <v>7730913.75</v>
      </c>
    </row>
    <row r="4299" spans="4:9" ht="12.75">
      <c r="D4299" s="5" t="s">
        <v>749</v>
      </c>
      <c r="E4299" s="55" t="s">
        <v>896</v>
      </c>
      <c r="F4299" s="55"/>
      <c r="G4299" s="7">
        <v>94023313.05</v>
      </c>
      <c r="H4299" s="7">
        <v>0</v>
      </c>
      <c r="I4299" s="7">
        <f t="shared" si="207"/>
        <v>94023313.05</v>
      </c>
    </row>
    <row r="4300" spans="4:9" ht="12.75">
      <c r="D4300" s="5" t="s">
        <v>754</v>
      </c>
      <c r="E4300" s="55" t="s">
        <v>212</v>
      </c>
      <c r="F4300" s="55"/>
      <c r="G4300" s="24">
        <v>656300.02</v>
      </c>
      <c r="H4300" s="24">
        <v>0</v>
      </c>
      <c r="I4300" s="24">
        <f t="shared" si="207"/>
        <v>656300.02</v>
      </c>
    </row>
    <row r="4301" spans="4:9" ht="13.5" thickBot="1">
      <c r="D4301" s="5" t="s">
        <v>927</v>
      </c>
      <c r="E4301" s="55" t="s">
        <v>886</v>
      </c>
      <c r="F4301" s="55"/>
      <c r="G4301" s="24">
        <v>383931.58</v>
      </c>
      <c r="H4301" s="24">
        <v>0</v>
      </c>
      <c r="I4301" s="24">
        <f t="shared" si="207"/>
        <v>383931.58</v>
      </c>
    </row>
    <row r="4302" spans="5:9" ht="12.75">
      <c r="E4302" s="58" t="s">
        <v>32</v>
      </c>
      <c r="F4302" s="58"/>
      <c r="G4302" s="25"/>
      <c r="H4302" s="25"/>
      <c r="I4302" s="25"/>
    </row>
    <row r="4303" spans="4:9" ht="12.75">
      <c r="D4303" s="5" t="s">
        <v>772</v>
      </c>
      <c r="E4303" s="55" t="s">
        <v>773</v>
      </c>
      <c r="F4303" s="55"/>
      <c r="G4303" s="24">
        <f>SUM(G4289:G4302)</f>
        <v>369290631.1999999</v>
      </c>
      <c r="I4303" s="24">
        <f>G4303+H4303</f>
        <v>369290631.1999999</v>
      </c>
    </row>
    <row r="4304" spans="4:9" ht="13.5" thickBot="1">
      <c r="D4304" s="5" t="s">
        <v>979</v>
      </c>
      <c r="E4304" s="55" t="s">
        <v>374</v>
      </c>
      <c r="F4304" s="55"/>
      <c r="H4304" s="24">
        <f>+H4295</f>
        <v>881572.89</v>
      </c>
      <c r="I4304" s="24">
        <f>G4304+H4304</f>
        <v>881572.89</v>
      </c>
    </row>
    <row r="4305" spans="5:9" ht="13.5" thickBot="1">
      <c r="E4305" s="56" t="s">
        <v>33</v>
      </c>
      <c r="F4305" s="56"/>
      <c r="G4305" s="26">
        <f>SUM(G4303:G4304)</f>
        <v>369290631.1999999</v>
      </c>
      <c r="H4305" s="26">
        <f>SUM(H4303:H4304)</f>
        <v>881572.89</v>
      </c>
      <c r="I4305" s="26">
        <f>G4305+H4305</f>
        <v>370172204.0899999</v>
      </c>
    </row>
    <row r="4306" spans="5:9" ht="12.75">
      <c r="E4306" s="58" t="s">
        <v>344</v>
      </c>
      <c r="F4306" s="58"/>
      <c r="G4306" s="25"/>
      <c r="H4306" s="25"/>
      <c r="I4306" s="25"/>
    </row>
    <row r="4307" spans="4:9" ht="12.75">
      <c r="D4307" s="5" t="s">
        <v>772</v>
      </c>
      <c r="E4307" s="55" t="s">
        <v>773</v>
      </c>
      <c r="F4307" s="55"/>
      <c r="G4307" s="24">
        <f>+G4303</f>
        <v>369290631.1999999</v>
      </c>
      <c r="H4307" s="24">
        <v>0</v>
      </c>
      <c r="I4307" s="24">
        <f>G4307+H4307</f>
        <v>369290631.1999999</v>
      </c>
    </row>
    <row r="4308" spans="4:9" ht="13.5" thickBot="1">
      <c r="D4308" s="5" t="s">
        <v>979</v>
      </c>
      <c r="E4308" s="55" t="s">
        <v>374</v>
      </c>
      <c r="F4308" s="55"/>
      <c r="H4308" s="24">
        <f>+H4304</f>
        <v>881572.89</v>
      </c>
      <c r="I4308" s="24">
        <f>G4308+H4308</f>
        <v>881572.89</v>
      </c>
    </row>
    <row r="4309" spans="5:9" ht="13.5" thickBot="1">
      <c r="E4309" s="56" t="s">
        <v>345</v>
      </c>
      <c r="F4309" s="56"/>
      <c r="G4309" s="26">
        <f>SUM(G4307:G4308)</f>
        <v>369290631.1999999</v>
      </c>
      <c r="H4309" s="26">
        <f>SUM(H4307:H4308)</f>
        <v>881572.89</v>
      </c>
      <c r="I4309" s="26">
        <f>G4309+H4309</f>
        <v>370172204.0899999</v>
      </c>
    </row>
    <row r="4310" spans="5:9" ht="8.25" customHeight="1">
      <c r="E4310" s="12"/>
      <c r="F4310" s="12"/>
      <c r="G4310" s="29"/>
      <c r="H4310" s="29"/>
      <c r="I4310" s="29"/>
    </row>
    <row r="4311" spans="1:9" ht="12.75">
      <c r="A4311" s="8" t="s">
        <v>766</v>
      </c>
      <c r="B4311" s="8" t="s">
        <v>502</v>
      </c>
      <c r="C4311" s="8"/>
      <c r="D4311" s="9"/>
      <c r="E4311" s="57" t="s">
        <v>259</v>
      </c>
      <c r="F4311" s="57"/>
      <c r="G4311" s="37"/>
      <c r="H4311" s="37"/>
      <c r="I4311" s="37"/>
    </row>
    <row r="4312" spans="1:9" ht="12.75">
      <c r="A4312" s="8"/>
      <c r="B4312" s="8"/>
      <c r="C4312" s="8" t="s">
        <v>835</v>
      </c>
      <c r="D4312" s="9"/>
      <c r="E4312" s="57" t="s">
        <v>836</v>
      </c>
      <c r="F4312" s="57"/>
      <c r="G4312" s="37"/>
      <c r="H4312" s="37"/>
      <c r="I4312" s="37"/>
    </row>
    <row r="4313" spans="2:9" ht="12.75">
      <c r="B4313" s="4"/>
      <c r="D4313" s="5" t="s">
        <v>911</v>
      </c>
      <c r="E4313" s="55" t="s">
        <v>199</v>
      </c>
      <c r="F4313" s="55"/>
      <c r="G4313" s="24">
        <v>24558505.94</v>
      </c>
      <c r="I4313" s="24">
        <f aca="true" t="shared" si="208" ref="I4313:I4320">G4313+H4313</f>
        <v>24558505.94</v>
      </c>
    </row>
    <row r="4314" spans="2:9" ht="12.75">
      <c r="B4314" s="4"/>
      <c r="D4314" s="5" t="s">
        <v>912</v>
      </c>
      <c r="E4314" s="55" t="s">
        <v>877</v>
      </c>
      <c r="F4314" s="55"/>
      <c r="G4314" s="24">
        <v>4396817.81</v>
      </c>
      <c r="I4314" s="24">
        <f t="shared" si="208"/>
        <v>4396817.81</v>
      </c>
    </row>
    <row r="4315" spans="2:9" ht="12.75">
      <c r="B4315" s="4"/>
      <c r="D4315" s="5" t="s">
        <v>918</v>
      </c>
      <c r="E4315" s="55" t="s">
        <v>878</v>
      </c>
      <c r="F4315" s="55"/>
      <c r="G4315" s="24">
        <v>42971.72</v>
      </c>
      <c r="I4315" s="24">
        <f t="shared" si="208"/>
        <v>42971.72</v>
      </c>
    </row>
    <row r="4316" spans="2:9" ht="12.75">
      <c r="B4316" s="4"/>
      <c r="D4316" s="5" t="s">
        <v>919</v>
      </c>
      <c r="E4316" s="55" t="s">
        <v>200</v>
      </c>
      <c r="F4316" s="55"/>
      <c r="G4316" s="24">
        <v>708292.45</v>
      </c>
      <c r="I4316" s="24">
        <f t="shared" si="208"/>
        <v>708292.45</v>
      </c>
    </row>
    <row r="4317" spans="2:9" ht="12.75">
      <c r="B4317" s="4"/>
      <c r="D4317" s="5" t="s">
        <v>913</v>
      </c>
      <c r="E4317" s="55" t="s">
        <v>881</v>
      </c>
      <c r="F4317" s="55"/>
      <c r="G4317" s="24">
        <v>22689363.51</v>
      </c>
      <c r="I4317" s="24">
        <f t="shared" si="208"/>
        <v>22689363.51</v>
      </c>
    </row>
    <row r="4318" spans="2:9" ht="12.75">
      <c r="B4318" s="4"/>
      <c r="D4318" s="5" t="s">
        <v>915</v>
      </c>
      <c r="E4318" s="55" t="s">
        <v>879</v>
      </c>
      <c r="F4318" s="55"/>
      <c r="G4318" s="24">
        <v>235213</v>
      </c>
      <c r="I4318" s="24">
        <f t="shared" si="208"/>
        <v>235213</v>
      </c>
    </row>
    <row r="4319" spans="2:9" ht="12.75">
      <c r="B4319" s="4"/>
      <c r="D4319" s="5" t="s">
        <v>924</v>
      </c>
      <c r="E4319" s="55" t="s">
        <v>203</v>
      </c>
      <c r="F4319" s="55"/>
      <c r="G4319" s="24">
        <v>1473457.35</v>
      </c>
      <c r="I4319" s="24">
        <f t="shared" si="208"/>
        <v>1473457.35</v>
      </c>
    </row>
    <row r="4320" spans="2:9" ht="13.5" thickBot="1">
      <c r="B4320" s="4"/>
      <c r="D4320" s="5" t="s">
        <v>933</v>
      </c>
      <c r="E4320" s="54" t="s">
        <v>898</v>
      </c>
      <c r="F4320" s="54"/>
      <c r="G4320" s="39">
        <v>2145585.64</v>
      </c>
      <c r="H4320" s="39"/>
      <c r="I4320" s="39">
        <f t="shared" si="208"/>
        <v>2145585.64</v>
      </c>
    </row>
    <row r="4321" spans="2:9" ht="12.75">
      <c r="B4321" s="4"/>
      <c r="E4321" s="60" t="s">
        <v>373</v>
      </c>
      <c r="F4321" s="60"/>
      <c r="G4321" s="36"/>
      <c r="H4321" s="36"/>
      <c r="I4321" s="36"/>
    </row>
    <row r="4322" spans="2:9" ht="13.5" thickBot="1">
      <c r="B4322" s="4"/>
      <c r="D4322" s="5" t="s">
        <v>772</v>
      </c>
      <c r="E4322" s="55" t="s">
        <v>773</v>
      </c>
      <c r="F4322" s="55"/>
      <c r="G4322" s="24">
        <f>SUM(G4313:G4321)</f>
        <v>56250207.42</v>
      </c>
      <c r="I4322" s="24">
        <f>G4322+H4322</f>
        <v>56250207.42</v>
      </c>
    </row>
    <row r="4323" spans="2:9" ht="13.5" thickBot="1">
      <c r="B4323" s="4"/>
      <c r="E4323" s="56" t="s">
        <v>382</v>
      </c>
      <c r="F4323" s="56"/>
      <c r="G4323" s="26">
        <f>SUM(G4322:G4322)</f>
        <v>56250207.42</v>
      </c>
      <c r="H4323" s="26">
        <f>SUM(H4322:H4322)</f>
        <v>0</v>
      </c>
      <c r="I4323" s="26">
        <f>G4323+H4323</f>
        <v>56250207.42</v>
      </c>
    </row>
    <row r="4324" spans="2:9" ht="12.75">
      <c r="B4324" s="4"/>
      <c r="E4324" s="58" t="s">
        <v>645</v>
      </c>
      <c r="F4324" s="58"/>
      <c r="G4324" s="36"/>
      <c r="H4324" s="25"/>
      <c r="I4324" s="25"/>
    </row>
    <row r="4325" spans="2:9" ht="13.5" thickBot="1">
      <c r="B4325" s="4"/>
      <c r="D4325" s="5" t="s">
        <v>772</v>
      </c>
      <c r="E4325" s="55" t="s">
        <v>773</v>
      </c>
      <c r="F4325" s="55"/>
      <c r="G4325" s="24">
        <f>+G4322</f>
        <v>56250207.42</v>
      </c>
      <c r="H4325" s="24">
        <v>0</v>
      </c>
      <c r="I4325" s="24">
        <f>G4325+H4325</f>
        <v>56250207.42</v>
      </c>
    </row>
    <row r="4326" spans="2:9" ht="13.5" thickBot="1">
      <c r="B4326" s="4"/>
      <c r="E4326" s="56" t="s">
        <v>646</v>
      </c>
      <c r="F4326" s="56"/>
      <c r="G4326" s="26">
        <f>SUM(G4325:G4325)</f>
        <v>56250207.42</v>
      </c>
      <c r="H4326" s="26">
        <f>SUM(H4325:H4325)</f>
        <v>0</v>
      </c>
      <c r="I4326" s="26">
        <f>G4326+H4326</f>
        <v>56250207.42</v>
      </c>
    </row>
    <row r="4327" spans="2:9" ht="12.75">
      <c r="B4327" s="4"/>
      <c r="E4327" s="58" t="s">
        <v>647</v>
      </c>
      <c r="F4327" s="58"/>
      <c r="G4327" s="36"/>
      <c r="H4327" s="36"/>
      <c r="I4327" s="36"/>
    </row>
    <row r="4328" spans="2:9" ht="12.75">
      <c r="B4328" s="4"/>
      <c r="D4328" s="5" t="s">
        <v>772</v>
      </c>
      <c r="E4328" s="55" t="s">
        <v>773</v>
      </c>
      <c r="F4328" s="55"/>
      <c r="G4328" s="24">
        <f>+G4325+G4307</f>
        <v>425540838.61999995</v>
      </c>
      <c r="H4328" s="24">
        <v>0</v>
      </c>
      <c r="I4328" s="24">
        <f>G4328+H4328</f>
        <v>425540838.61999995</v>
      </c>
    </row>
    <row r="4329" spans="2:9" ht="13.5" thickBot="1">
      <c r="B4329" s="4"/>
      <c r="D4329" s="5" t="s">
        <v>979</v>
      </c>
      <c r="E4329" s="55" t="s">
        <v>374</v>
      </c>
      <c r="F4329" s="55"/>
      <c r="G4329" s="39">
        <v>0</v>
      </c>
      <c r="H4329" s="39">
        <f>+H4308</f>
        <v>881572.89</v>
      </c>
      <c r="I4329" s="39">
        <f>G4329+H4329</f>
        <v>881572.89</v>
      </c>
    </row>
    <row r="4330" spans="2:9" ht="13.5" thickBot="1">
      <c r="B4330" s="4"/>
      <c r="E4330" s="56" t="s">
        <v>648</v>
      </c>
      <c r="F4330" s="56"/>
      <c r="G4330" s="40">
        <f>SUM(G4328:G4329)</f>
        <v>425540838.61999995</v>
      </c>
      <c r="H4330" s="40">
        <f>SUM(H4328:H4329)</f>
        <v>881572.89</v>
      </c>
      <c r="I4330" s="40">
        <f>G4330+H4330</f>
        <v>426422411.50999993</v>
      </c>
    </row>
    <row r="4331" ht="6.75" customHeight="1"/>
    <row r="4332" spans="1:6" ht="25.5" customHeight="1">
      <c r="A4332" s="8">
        <v>65</v>
      </c>
      <c r="B4332" s="9" t="s">
        <v>766</v>
      </c>
      <c r="C4332" s="8"/>
      <c r="D4332" s="9"/>
      <c r="E4332" s="57" t="s">
        <v>982</v>
      </c>
      <c r="F4332" s="57"/>
    </row>
    <row r="4333" spans="1:6" ht="12.75">
      <c r="A4333" s="8"/>
      <c r="B4333" s="9"/>
      <c r="C4333" s="8" t="s">
        <v>837</v>
      </c>
      <c r="D4333" s="9"/>
      <c r="E4333" s="57" t="s">
        <v>838</v>
      </c>
      <c r="F4333" s="57"/>
    </row>
    <row r="4334" spans="4:9" ht="12.75">
      <c r="D4334" s="5" t="s">
        <v>913</v>
      </c>
      <c r="E4334" s="55" t="s">
        <v>881</v>
      </c>
      <c r="F4334" s="55"/>
      <c r="G4334" s="24">
        <v>20852818.24</v>
      </c>
      <c r="H4334" s="24">
        <v>0</v>
      </c>
      <c r="I4334" s="24">
        <f aca="true" t="shared" si="209" ref="I4334:I4340">G4334+H4334</f>
        <v>20852818.24</v>
      </c>
    </row>
    <row r="4335" spans="4:9" ht="12.75">
      <c r="D4335" s="5" t="s">
        <v>916</v>
      </c>
      <c r="E4335" s="55" t="s">
        <v>882</v>
      </c>
      <c r="F4335" s="55"/>
      <c r="G4335" s="24">
        <v>1399075.41</v>
      </c>
      <c r="H4335" s="24">
        <v>0</v>
      </c>
      <c r="I4335" s="24">
        <f t="shared" si="209"/>
        <v>1399075.41</v>
      </c>
    </row>
    <row r="4336" spans="4:9" ht="12.75">
      <c r="D4336" s="5" t="s">
        <v>923</v>
      </c>
      <c r="E4336" s="55" t="s">
        <v>883</v>
      </c>
      <c r="F4336" s="55"/>
      <c r="G4336" s="24">
        <v>737468</v>
      </c>
      <c r="H4336" s="24">
        <v>0</v>
      </c>
      <c r="I4336" s="24">
        <f t="shared" si="209"/>
        <v>737468</v>
      </c>
    </row>
    <row r="4337" spans="4:9" ht="12.75">
      <c r="D4337" s="5" t="s">
        <v>924</v>
      </c>
      <c r="E4337" s="55" t="s">
        <v>203</v>
      </c>
      <c r="F4337" s="55"/>
      <c r="G4337" s="24">
        <v>1413986.3</v>
      </c>
      <c r="H4337" s="24">
        <v>0</v>
      </c>
      <c r="I4337" s="24">
        <f t="shared" si="209"/>
        <v>1413986.3</v>
      </c>
    </row>
    <row r="4338" spans="4:9" ht="12.75">
      <c r="D4338" s="5" t="s">
        <v>750</v>
      </c>
      <c r="E4338" s="55" t="s">
        <v>887</v>
      </c>
      <c r="F4338" s="55"/>
      <c r="G4338" s="24">
        <v>3909512304.71</v>
      </c>
      <c r="H4338" s="24">
        <v>0</v>
      </c>
      <c r="I4338" s="24">
        <f t="shared" si="209"/>
        <v>3909512304.71</v>
      </c>
    </row>
    <row r="4339" spans="4:9" ht="12.75">
      <c r="D4339" s="5" t="s">
        <v>753</v>
      </c>
      <c r="E4339" s="55" t="s">
        <v>211</v>
      </c>
      <c r="F4339" s="55"/>
      <c r="G4339" s="24">
        <v>18557452</v>
      </c>
      <c r="H4339" s="24">
        <v>0</v>
      </c>
      <c r="I4339" s="24">
        <f t="shared" si="209"/>
        <v>18557452</v>
      </c>
    </row>
    <row r="4340" spans="4:9" ht="13.5" thickBot="1">
      <c r="D4340" s="5" t="s">
        <v>926</v>
      </c>
      <c r="E4340" s="55" t="s">
        <v>885</v>
      </c>
      <c r="F4340" s="55"/>
      <c r="G4340" s="24">
        <v>5749949.26</v>
      </c>
      <c r="H4340" s="24">
        <v>0</v>
      </c>
      <c r="I4340" s="24">
        <f t="shared" si="209"/>
        <v>5749949.26</v>
      </c>
    </row>
    <row r="4341" spans="5:9" ht="12.75">
      <c r="E4341" s="58" t="s">
        <v>49</v>
      </c>
      <c r="F4341" s="58"/>
      <c r="G4341" s="25"/>
      <c r="H4341" s="25"/>
      <c r="I4341" s="25"/>
    </row>
    <row r="4342" spans="4:9" ht="13.5" thickBot="1">
      <c r="D4342" s="5" t="s">
        <v>772</v>
      </c>
      <c r="E4342" s="55" t="s">
        <v>773</v>
      </c>
      <c r="F4342" s="55"/>
      <c r="G4342" s="24">
        <f>SUM(G4334:G4341)</f>
        <v>3958223053.92</v>
      </c>
      <c r="I4342" s="24">
        <f>G4342+H4342</f>
        <v>3958223053.92</v>
      </c>
    </row>
    <row r="4343" spans="5:9" ht="13.5" thickBot="1">
      <c r="E4343" s="56" t="s">
        <v>50</v>
      </c>
      <c r="F4343" s="56"/>
      <c r="G4343" s="26">
        <f>SUM(G4342:G4342)</f>
        <v>3958223053.92</v>
      </c>
      <c r="H4343" s="26">
        <f>SUM(H4342:H4342)</f>
        <v>0</v>
      </c>
      <c r="I4343" s="26">
        <f>G4343+H4343</f>
        <v>3958223053.92</v>
      </c>
    </row>
    <row r="4345" spans="1:6" ht="12.75">
      <c r="A4345" s="8"/>
      <c r="B4345" s="9"/>
      <c r="C4345" s="8" t="s">
        <v>839</v>
      </c>
      <c r="D4345" s="9"/>
      <c r="E4345" s="57" t="s">
        <v>840</v>
      </c>
      <c r="F4345" s="57"/>
    </row>
    <row r="4346" spans="4:9" ht="12.75">
      <c r="D4346" s="5" t="s">
        <v>913</v>
      </c>
      <c r="E4346" s="55" t="s">
        <v>881</v>
      </c>
      <c r="F4346" s="55"/>
      <c r="H4346" s="24">
        <v>0</v>
      </c>
      <c r="I4346" s="24">
        <f>G4346+H4346</f>
        <v>0</v>
      </c>
    </row>
    <row r="4347" spans="4:9" ht="12.75">
      <c r="D4347" s="5" t="s">
        <v>916</v>
      </c>
      <c r="E4347" s="55" t="s">
        <v>882</v>
      </c>
      <c r="F4347" s="55"/>
      <c r="G4347" s="24">
        <v>1508800</v>
      </c>
      <c r="H4347" s="24">
        <v>0</v>
      </c>
      <c r="I4347" s="24">
        <f>G4347+H4347</f>
        <v>1508800</v>
      </c>
    </row>
    <row r="4348" spans="4:9" ht="12.75">
      <c r="D4348" s="5" t="s">
        <v>750</v>
      </c>
      <c r="E4348" s="55" t="s">
        <v>887</v>
      </c>
      <c r="F4348" s="55"/>
      <c r="G4348" s="24">
        <v>7522920035.48</v>
      </c>
      <c r="H4348" s="24">
        <v>0</v>
      </c>
      <c r="I4348" s="24">
        <f>G4348+H4348</f>
        <v>7522920035.48</v>
      </c>
    </row>
    <row r="4349" spans="4:9" ht="13.5" thickBot="1">
      <c r="D4349" s="5" t="s">
        <v>753</v>
      </c>
      <c r="E4349" s="55" t="s">
        <v>211</v>
      </c>
      <c r="F4349" s="55"/>
      <c r="G4349" s="24">
        <v>5115</v>
      </c>
      <c r="I4349" s="24">
        <f>G4349+H4349</f>
        <v>5115</v>
      </c>
    </row>
    <row r="4350" spans="5:9" ht="12.75">
      <c r="E4350" s="58" t="s">
        <v>51</v>
      </c>
      <c r="F4350" s="58"/>
      <c r="G4350" s="25"/>
      <c r="H4350" s="25"/>
      <c r="I4350" s="25"/>
    </row>
    <row r="4351" spans="4:9" ht="13.5" thickBot="1">
      <c r="D4351" s="5" t="s">
        <v>772</v>
      </c>
      <c r="E4351" s="55" t="s">
        <v>773</v>
      </c>
      <c r="F4351" s="55"/>
      <c r="G4351" s="24">
        <f>SUM(G4346:G4350)</f>
        <v>7524433950.48</v>
      </c>
      <c r="I4351" s="24">
        <f>G4351+H4351</f>
        <v>7524433950.48</v>
      </c>
    </row>
    <row r="4352" spans="5:9" ht="13.5" thickBot="1">
      <c r="E4352" s="56" t="s">
        <v>52</v>
      </c>
      <c r="F4352" s="56"/>
      <c r="G4352" s="26">
        <f>SUM(G4351:G4351)</f>
        <v>7524433950.48</v>
      </c>
      <c r="H4352" s="26">
        <f>SUM(H4351:H4351)</f>
        <v>0</v>
      </c>
      <c r="I4352" s="26">
        <f>G4352+H4352</f>
        <v>7524433950.48</v>
      </c>
    </row>
    <row r="4353" ht="9" customHeight="1"/>
    <row r="4354" spans="1:6" ht="26.25" customHeight="1">
      <c r="A4354" s="8"/>
      <c r="B4354" s="9"/>
      <c r="C4354" s="8" t="s">
        <v>841</v>
      </c>
      <c r="D4354" s="9"/>
      <c r="E4354" s="57" t="s">
        <v>842</v>
      </c>
      <c r="F4354" s="57"/>
    </row>
    <row r="4355" spans="4:9" ht="12.75">
      <c r="D4355" s="5" t="s">
        <v>911</v>
      </c>
      <c r="E4355" s="55" t="s">
        <v>199</v>
      </c>
      <c r="F4355" s="55"/>
      <c r="G4355" s="24">
        <v>806073931.51</v>
      </c>
      <c r="H4355" s="24">
        <v>0</v>
      </c>
      <c r="I4355" s="24">
        <f aca="true" t="shared" si="210" ref="I4355:I4362">G4355+H4355</f>
        <v>806073931.51</v>
      </c>
    </row>
    <row r="4356" spans="4:9" ht="12.75">
      <c r="D4356" s="5" t="s">
        <v>912</v>
      </c>
      <c r="E4356" s="55" t="s">
        <v>877</v>
      </c>
      <c r="F4356" s="55"/>
      <c r="G4356" s="24">
        <v>144270023.3</v>
      </c>
      <c r="H4356" s="24">
        <v>0</v>
      </c>
      <c r="I4356" s="24">
        <f t="shared" si="210"/>
        <v>144270023.3</v>
      </c>
    </row>
    <row r="4357" spans="4:9" ht="12.75">
      <c r="D4357" s="5" t="s">
        <v>921</v>
      </c>
      <c r="E4357" s="55" t="s">
        <v>880</v>
      </c>
      <c r="F4357" s="55"/>
      <c r="G4357" s="24">
        <v>1364905</v>
      </c>
      <c r="H4357" s="24">
        <v>0</v>
      </c>
      <c r="I4357" s="24">
        <f t="shared" si="210"/>
        <v>1364905</v>
      </c>
    </row>
    <row r="4358" spans="4:9" ht="12.75">
      <c r="D4358" s="5" t="s">
        <v>913</v>
      </c>
      <c r="E4358" s="55" t="s">
        <v>881</v>
      </c>
      <c r="F4358" s="55"/>
      <c r="G4358" s="24">
        <v>21358231.87</v>
      </c>
      <c r="H4358" s="24">
        <v>0</v>
      </c>
      <c r="I4358" s="24">
        <f t="shared" si="210"/>
        <v>21358231.87</v>
      </c>
    </row>
    <row r="4359" spans="4:9" ht="12.75">
      <c r="D4359" s="5" t="s">
        <v>916</v>
      </c>
      <c r="E4359" s="55" t="s">
        <v>882</v>
      </c>
      <c r="F4359" s="55"/>
      <c r="G4359" s="24">
        <v>93522700.74</v>
      </c>
      <c r="H4359" s="24">
        <v>0</v>
      </c>
      <c r="I4359" s="24">
        <f t="shared" si="210"/>
        <v>93522700.74</v>
      </c>
    </row>
    <row r="4360" spans="4:9" ht="12.75">
      <c r="D4360" s="5" t="s">
        <v>930</v>
      </c>
      <c r="E4360" s="55" t="s">
        <v>209</v>
      </c>
      <c r="F4360" s="55"/>
      <c r="H4360" s="24">
        <v>0</v>
      </c>
      <c r="I4360" s="24">
        <f t="shared" si="210"/>
        <v>0</v>
      </c>
    </row>
    <row r="4361" spans="4:9" ht="12.75">
      <c r="D4361" s="5" t="s">
        <v>750</v>
      </c>
      <c r="E4361" s="55" t="s">
        <v>887</v>
      </c>
      <c r="F4361" s="55"/>
      <c r="G4361" s="24">
        <v>2917181164.96</v>
      </c>
      <c r="I4361" s="24">
        <f t="shared" si="210"/>
        <v>2917181164.96</v>
      </c>
    </row>
    <row r="4362" spans="4:9" ht="13.5" thickBot="1">
      <c r="D4362" s="5" t="s">
        <v>926</v>
      </c>
      <c r="E4362" s="55" t="s">
        <v>885</v>
      </c>
      <c r="F4362" s="55"/>
      <c r="G4362" s="24">
        <v>140347732</v>
      </c>
      <c r="H4362" s="24">
        <v>188412819.9</v>
      </c>
      <c r="I4362" s="24">
        <f t="shared" si="210"/>
        <v>328760551.9</v>
      </c>
    </row>
    <row r="4363" spans="5:9" ht="12.75">
      <c r="E4363" s="58" t="s">
        <v>53</v>
      </c>
      <c r="F4363" s="58"/>
      <c r="G4363" s="25"/>
      <c r="H4363" s="25"/>
      <c r="I4363" s="25"/>
    </row>
    <row r="4364" spans="4:9" ht="12.75">
      <c r="D4364" s="5" t="s">
        <v>772</v>
      </c>
      <c r="E4364" s="55" t="s">
        <v>773</v>
      </c>
      <c r="F4364" s="55"/>
      <c r="G4364" s="24">
        <f>SUM(G4355:G4363)</f>
        <v>4124118689.38</v>
      </c>
      <c r="I4364" s="24">
        <f>G4364+H4364</f>
        <v>4124118689.38</v>
      </c>
    </row>
    <row r="4365" spans="4:9" ht="13.5" thickBot="1">
      <c r="D4365" s="5" t="s">
        <v>830</v>
      </c>
      <c r="E4365" s="55" t="s">
        <v>906</v>
      </c>
      <c r="F4365" s="55"/>
      <c r="H4365" s="24">
        <f>+H4362</f>
        <v>188412819.9</v>
      </c>
      <c r="I4365" s="24">
        <f>G4365+H4365</f>
        <v>188412819.9</v>
      </c>
    </row>
    <row r="4366" spans="5:9" ht="13.5" thickBot="1">
      <c r="E4366" s="56" t="s">
        <v>54</v>
      </c>
      <c r="F4366" s="56"/>
      <c r="G4366" s="26">
        <f>SUM(G4364:G4365)</f>
        <v>4124118689.38</v>
      </c>
      <c r="H4366" s="26">
        <f>SUM(H4364:H4365)</f>
        <v>188412819.9</v>
      </c>
      <c r="I4366" s="26">
        <f>G4366+H4366</f>
        <v>4312531509.28</v>
      </c>
    </row>
    <row r="4368" spans="1:6" ht="12.75">
      <c r="A4368" s="8"/>
      <c r="B4368" s="9"/>
      <c r="C4368" s="8" t="s">
        <v>843</v>
      </c>
      <c r="D4368" s="9"/>
      <c r="E4368" s="57" t="s">
        <v>844</v>
      </c>
      <c r="F4368" s="57"/>
    </row>
    <row r="4369" spans="4:9" ht="12.75">
      <c r="D4369" s="5" t="s">
        <v>911</v>
      </c>
      <c r="E4369" s="55" t="s">
        <v>199</v>
      </c>
      <c r="F4369" s="55"/>
      <c r="G4369" s="24">
        <v>25484349.74</v>
      </c>
      <c r="H4369" s="24">
        <v>0</v>
      </c>
      <c r="I4369" s="24">
        <f aca="true" t="shared" si="211" ref="I4369:I4380">G4369+H4369</f>
        <v>25484349.74</v>
      </c>
    </row>
    <row r="4370" spans="4:9" ht="12.75">
      <c r="D4370" s="5" t="s">
        <v>912</v>
      </c>
      <c r="E4370" s="55" t="s">
        <v>877</v>
      </c>
      <c r="F4370" s="55"/>
      <c r="G4370" s="24">
        <v>4561698.39</v>
      </c>
      <c r="H4370" s="24">
        <v>0</v>
      </c>
      <c r="I4370" s="24">
        <f t="shared" si="211"/>
        <v>4561698.39</v>
      </c>
    </row>
    <row r="4371" spans="4:9" ht="12.75">
      <c r="D4371" s="5" t="s">
        <v>921</v>
      </c>
      <c r="E4371" s="55" t="s">
        <v>880</v>
      </c>
      <c r="F4371" s="55"/>
      <c r="G4371" s="24">
        <v>358528.72</v>
      </c>
      <c r="H4371" s="24">
        <v>0</v>
      </c>
      <c r="I4371" s="24">
        <f t="shared" si="211"/>
        <v>358528.72</v>
      </c>
    </row>
    <row r="4372" spans="4:9" ht="12.75">
      <c r="D4372" s="5" t="s">
        <v>919</v>
      </c>
      <c r="E4372" s="55" t="s">
        <v>200</v>
      </c>
      <c r="F4372" s="55"/>
      <c r="G4372" s="24">
        <v>852417.92</v>
      </c>
      <c r="H4372" s="24">
        <v>0</v>
      </c>
      <c r="I4372" s="24">
        <f t="shared" si="211"/>
        <v>852417.92</v>
      </c>
    </row>
    <row r="4373" spans="4:9" ht="12.75">
      <c r="D4373" s="5" t="s">
        <v>913</v>
      </c>
      <c r="E4373" s="55" t="s">
        <v>881</v>
      </c>
      <c r="F4373" s="55"/>
      <c r="G4373" s="24">
        <v>1546455.39</v>
      </c>
      <c r="H4373" s="24">
        <v>0</v>
      </c>
      <c r="I4373" s="24">
        <f t="shared" si="211"/>
        <v>1546455.39</v>
      </c>
    </row>
    <row r="4374" spans="4:9" ht="12.75">
      <c r="D4374" s="5" t="s">
        <v>915</v>
      </c>
      <c r="E4374" s="55" t="s">
        <v>879</v>
      </c>
      <c r="F4374" s="55"/>
      <c r="G4374" s="24">
        <v>664908.06</v>
      </c>
      <c r="H4374" s="24">
        <v>0</v>
      </c>
      <c r="I4374" s="24">
        <f t="shared" si="211"/>
        <v>664908.06</v>
      </c>
    </row>
    <row r="4375" spans="4:9" ht="12.75">
      <c r="D4375" s="5" t="s">
        <v>916</v>
      </c>
      <c r="E4375" s="55" t="s">
        <v>882</v>
      </c>
      <c r="F4375" s="55"/>
      <c r="G4375" s="24">
        <v>91442.6</v>
      </c>
      <c r="H4375" s="24">
        <v>0</v>
      </c>
      <c r="I4375" s="24">
        <f t="shared" si="211"/>
        <v>91442.6</v>
      </c>
    </row>
    <row r="4376" spans="4:9" ht="12.75">
      <c r="D4376" s="5" t="s">
        <v>924</v>
      </c>
      <c r="E4376" s="55" t="s">
        <v>203</v>
      </c>
      <c r="F4376" s="55"/>
      <c r="G4376" s="24">
        <v>58432.97</v>
      </c>
      <c r="H4376" s="24">
        <v>0</v>
      </c>
      <c r="I4376" s="24">
        <f t="shared" si="211"/>
        <v>58432.97</v>
      </c>
    </row>
    <row r="4377" spans="4:9" ht="12.75">
      <c r="D4377" s="5" t="s">
        <v>925</v>
      </c>
      <c r="E4377" s="55" t="s">
        <v>884</v>
      </c>
      <c r="F4377" s="55"/>
      <c r="G4377" s="24">
        <v>106216.79</v>
      </c>
      <c r="H4377" s="24">
        <v>0</v>
      </c>
      <c r="I4377" s="24">
        <f t="shared" si="211"/>
        <v>106216.79</v>
      </c>
    </row>
    <row r="4378" spans="4:9" ht="12.75">
      <c r="D4378" s="5" t="s">
        <v>931</v>
      </c>
      <c r="E4378" s="55" t="s">
        <v>210</v>
      </c>
      <c r="F4378" s="55"/>
      <c r="G4378" s="24">
        <v>6996983332</v>
      </c>
      <c r="H4378" s="24">
        <v>0</v>
      </c>
      <c r="I4378" s="24">
        <f t="shared" si="211"/>
        <v>6996983332</v>
      </c>
    </row>
    <row r="4379" spans="4:9" ht="12.75">
      <c r="D4379" s="5" t="s">
        <v>750</v>
      </c>
      <c r="E4379" s="55" t="s">
        <v>887</v>
      </c>
      <c r="F4379" s="55"/>
      <c r="G4379" s="24">
        <v>13165108.72</v>
      </c>
      <c r="H4379" s="24">
        <v>0</v>
      </c>
      <c r="I4379" s="24">
        <f t="shared" si="211"/>
        <v>13165108.72</v>
      </c>
    </row>
    <row r="4380" spans="4:9" ht="13.5" thickBot="1">
      <c r="D4380" s="5" t="s">
        <v>754</v>
      </c>
      <c r="E4380" s="55" t="s">
        <v>212</v>
      </c>
      <c r="F4380" s="55"/>
      <c r="G4380" s="24">
        <v>840</v>
      </c>
      <c r="H4380" s="24">
        <v>0</v>
      </c>
      <c r="I4380" s="24">
        <f t="shared" si="211"/>
        <v>840</v>
      </c>
    </row>
    <row r="4381" spans="5:9" ht="12.75">
      <c r="E4381" s="58" t="s">
        <v>17</v>
      </c>
      <c r="F4381" s="58"/>
      <c r="G4381" s="25"/>
      <c r="H4381" s="25"/>
      <c r="I4381" s="25"/>
    </row>
    <row r="4382" spans="4:9" ht="13.5" thickBot="1">
      <c r="D4382" s="5" t="s">
        <v>772</v>
      </c>
      <c r="E4382" s="55" t="s">
        <v>773</v>
      </c>
      <c r="F4382" s="55"/>
      <c r="G4382" s="24">
        <f>SUM(G4369:G4381)</f>
        <v>7043873731.3</v>
      </c>
      <c r="I4382" s="24">
        <f>G4382+H4382</f>
        <v>7043873731.3</v>
      </c>
    </row>
    <row r="4383" spans="5:9" ht="13.5" thickBot="1">
      <c r="E4383" s="56" t="s">
        <v>18</v>
      </c>
      <c r="F4383" s="56"/>
      <c r="G4383" s="26">
        <f>SUM(G4382:G4382)</f>
        <v>7043873731.3</v>
      </c>
      <c r="H4383" s="26">
        <f>SUM(H4382:H4382)</f>
        <v>0</v>
      </c>
      <c r="I4383" s="26">
        <f>G4383+H4383</f>
        <v>7043873731.3</v>
      </c>
    </row>
    <row r="4385" spans="1:6" ht="27" customHeight="1">
      <c r="A4385" s="8"/>
      <c r="B4385" s="9"/>
      <c r="C4385" s="8" t="s">
        <v>802</v>
      </c>
      <c r="D4385" s="9"/>
      <c r="E4385" s="57" t="s">
        <v>803</v>
      </c>
      <c r="F4385" s="57"/>
    </row>
    <row r="4386" spans="4:9" ht="12.75">
      <c r="D4386" s="5" t="s">
        <v>911</v>
      </c>
      <c r="E4386" s="55" t="s">
        <v>199</v>
      </c>
      <c r="F4386" s="55"/>
      <c r="G4386" s="24">
        <v>113719812.54</v>
      </c>
      <c r="H4386" s="24">
        <v>0</v>
      </c>
      <c r="I4386" s="24">
        <f aca="true" t="shared" si="212" ref="I4386:I4399">G4386+H4386</f>
        <v>113719812.54</v>
      </c>
    </row>
    <row r="4387" spans="4:9" ht="12.75">
      <c r="D4387" s="5" t="s">
        <v>912</v>
      </c>
      <c r="E4387" s="55" t="s">
        <v>877</v>
      </c>
      <c r="F4387" s="55"/>
      <c r="G4387" s="24">
        <v>20355329.41</v>
      </c>
      <c r="H4387" s="24">
        <v>0</v>
      </c>
      <c r="I4387" s="24">
        <f t="shared" si="212"/>
        <v>20355329.41</v>
      </c>
    </row>
    <row r="4388" spans="4:9" ht="12.75">
      <c r="D4388" s="5" t="s">
        <v>919</v>
      </c>
      <c r="E4388" s="55" t="s">
        <v>200</v>
      </c>
      <c r="F4388" s="55"/>
      <c r="G4388" s="24">
        <v>3335546.3</v>
      </c>
      <c r="H4388" s="24">
        <v>817664.51</v>
      </c>
      <c r="I4388" s="24">
        <f t="shared" si="212"/>
        <v>4153210.8099999996</v>
      </c>
    </row>
    <row r="4389" spans="4:9" ht="12.75">
      <c r="D4389" s="5" t="s">
        <v>913</v>
      </c>
      <c r="E4389" s="55" t="s">
        <v>881</v>
      </c>
      <c r="F4389" s="55"/>
      <c r="G4389" s="24">
        <v>5419662.55</v>
      </c>
      <c r="H4389" s="24">
        <v>258117.12</v>
      </c>
      <c r="I4389" s="24">
        <f t="shared" si="212"/>
        <v>5677779.67</v>
      </c>
    </row>
    <row r="4390" spans="4:9" ht="12.75">
      <c r="D4390" s="5" t="s">
        <v>915</v>
      </c>
      <c r="E4390" s="55" t="s">
        <v>879</v>
      </c>
      <c r="F4390" s="55"/>
      <c r="G4390" s="24">
        <v>1021044.43</v>
      </c>
      <c r="H4390" s="24">
        <v>81597.78</v>
      </c>
      <c r="I4390" s="24">
        <f t="shared" si="212"/>
        <v>1102642.21</v>
      </c>
    </row>
    <row r="4391" spans="4:9" ht="12.75">
      <c r="D4391" s="5" t="s">
        <v>916</v>
      </c>
      <c r="E4391" s="55" t="s">
        <v>882</v>
      </c>
      <c r="F4391" s="55"/>
      <c r="G4391" s="24">
        <v>11613592.59</v>
      </c>
      <c r="H4391" s="24">
        <v>24326431.77</v>
      </c>
      <c r="I4391" s="24">
        <f t="shared" si="212"/>
        <v>35940024.36</v>
      </c>
    </row>
    <row r="4392" spans="4:9" ht="12.75">
      <c r="D4392" s="5" t="s">
        <v>923</v>
      </c>
      <c r="E4392" s="55" t="s">
        <v>883</v>
      </c>
      <c r="F4392" s="55"/>
      <c r="G4392" s="24">
        <v>6807338.24</v>
      </c>
      <c r="H4392" s="24">
        <v>0</v>
      </c>
      <c r="I4392" s="24">
        <f t="shared" si="212"/>
        <v>6807338.24</v>
      </c>
    </row>
    <row r="4393" spans="4:9" ht="12.75">
      <c r="D4393" s="5" t="s">
        <v>924</v>
      </c>
      <c r="E4393" s="55" t="s">
        <v>203</v>
      </c>
      <c r="F4393" s="55"/>
      <c r="G4393" s="24">
        <v>174932.74</v>
      </c>
      <c r="H4393" s="24">
        <v>132439.58</v>
      </c>
      <c r="I4393" s="24">
        <f t="shared" si="212"/>
        <v>307372.31999999995</v>
      </c>
    </row>
    <row r="4394" spans="4:9" ht="12.75">
      <c r="D4394" s="5" t="s">
        <v>925</v>
      </c>
      <c r="E4394" s="55" t="s">
        <v>884</v>
      </c>
      <c r="F4394" s="55"/>
      <c r="G4394" s="24">
        <v>2913762.1</v>
      </c>
      <c r="H4394" s="24">
        <v>1800000</v>
      </c>
      <c r="I4394" s="24">
        <f t="shared" si="212"/>
        <v>4713762.1</v>
      </c>
    </row>
    <row r="4395" spans="4:9" ht="12.75">
      <c r="D4395" s="5" t="s">
        <v>749</v>
      </c>
      <c r="E4395" s="55" t="s">
        <v>896</v>
      </c>
      <c r="F4395" s="55"/>
      <c r="G4395" s="7">
        <v>261410880</v>
      </c>
      <c r="H4395" s="7">
        <v>0</v>
      </c>
      <c r="I4395" s="7">
        <f t="shared" si="212"/>
        <v>261410880</v>
      </c>
    </row>
    <row r="4396" spans="4:9" ht="12.75">
      <c r="D4396" s="5" t="s">
        <v>931</v>
      </c>
      <c r="E4396" s="55" t="s">
        <v>210</v>
      </c>
      <c r="F4396" s="55"/>
      <c r="G4396" s="24">
        <v>433333332</v>
      </c>
      <c r="H4396" s="24">
        <v>0</v>
      </c>
      <c r="I4396" s="24">
        <f t="shared" si="212"/>
        <v>433333332</v>
      </c>
    </row>
    <row r="4397" spans="4:9" ht="12.75">
      <c r="D4397" s="5" t="s">
        <v>750</v>
      </c>
      <c r="E4397" s="55" t="s">
        <v>887</v>
      </c>
      <c r="F4397" s="55"/>
      <c r="G4397" s="24">
        <v>2914138696.05</v>
      </c>
      <c r="H4397" s="24">
        <v>0</v>
      </c>
      <c r="I4397" s="24">
        <f t="shared" si="212"/>
        <v>2914138696.05</v>
      </c>
    </row>
    <row r="4398" spans="4:9" ht="12.75">
      <c r="D4398" s="5" t="s">
        <v>754</v>
      </c>
      <c r="E4398" s="55" t="s">
        <v>212</v>
      </c>
      <c r="F4398" s="55"/>
      <c r="G4398" s="24">
        <v>1824715.35</v>
      </c>
      <c r="H4398" s="24">
        <v>0</v>
      </c>
      <c r="I4398" s="24">
        <f t="shared" si="212"/>
        <v>1824715.35</v>
      </c>
    </row>
    <row r="4399" spans="4:9" ht="13.5" thickBot="1">
      <c r="D4399" s="5" t="s">
        <v>927</v>
      </c>
      <c r="E4399" s="55" t="s">
        <v>886</v>
      </c>
      <c r="F4399" s="55"/>
      <c r="G4399" s="24">
        <v>271109.72</v>
      </c>
      <c r="H4399" s="24">
        <v>196667.65</v>
      </c>
      <c r="I4399" s="24">
        <f t="shared" si="212"/>
        <v>467777.37</v>
      </c>
    </row>
    <row r="4400" spans="5:9" ht="12.75">
      <c r="E4400" s="58" t="s">
        <v>32</v>
      </c>
      <c r="F4400" s="58"/>
      <c r="G4400" s="25"/>
      <c r="H4400" s="25"/>
      <c r="I4400" s="25"/>
    </row>
    <row r="4401" spans="4:9" ht="12.75">
      <c r="D4401" s="5" t="s">
        <v>772</v>
      </c>
      <c r="E4401" s="55" t="s">
        <v>773</v>
      </c>
      <c r="F4401" s="55"/>
      <c r="G4401" s="24">
        <f>SUM(G4386:G4400)</f>
        <v>3776339754.02</v>
      </c>
      <c r="I4401" s="24">
        <f aca="true" t="shared" si="213" ref="I4401:I4407">G4401+H4401</f>
        <v>3776339754.02</v>
      </c>
    </row>
    <row r="4402" spans="4:9" ht="12.75">
      <c r="D4402" s="5" t="s">
        <v>784</v>
      </c>
      <c r="E4402" s="55" t="s">
        <v>785</v>
      </c>
      <c r="F4402" s="55"/>
      <c r="H4402" s="24">
        <v>2971348.3</v>
      </c>
      <c r="I4402" s="24">
        <f t="shared" si="213"/>
        <v>2971348.3</v>
      </c>
    </row>
    <row r="4403" spans="4:9" ht="12.75">
      <c r="D4403" s="5" t="s">
        <v>778</v>
      </c>
      <c r="E4403" s="55" t="s">
        <v>779</v>
      </c>
      <c r="F4403" s="55"/>
      <c r="H4403" s="24">
        <v>20891186.42</v>
      </c>
      <c r="I4403" s="24">
        <f t="shared" si="213"/>
        <v>20891186.42</v>
      </c>
    </row>
    <row r="4404" spans="4:9" ht="12.75">
      <c r="D4404" s="5" t="s">
        <v>780</v>
      </c>
      <c r="E4404" s="55" t="s">
        <v>781</v>
      </c>
      <c r="F4404" s="55"/>
      <c r="H4404" s="24">
        <v>789037.07</v>
      </c>
      <c r="I4404" s="24">
        <f t="shared" si="213"/>
        <v>789037.07</v>
      </c>
    </row>
    <row r="4405" spans="4:9" ht="12.75">
      <c r="D4405" s="5" t="s">
        <v>825</v>
      </c>
      <c r="E4405" s="55" t="s">
        <v>905</v>
      </c>
      <c r="F4405" s="55"/>
      <c r="H4405" s="24">
        <v>1950104.09</v>
      </c>
      <c r="I4405" s="24">
        <f t="shared" si="213"/>
        <v>1950104.09</v>
      </c>
    </row>
    <row r="4406" spans="4:9" ht="13.5" thickBot="1">
      <c r="D4406" s="5" t="s">
        <v>979</v>
      </c>
      <c r="E4406" s="55" t="s">
        <v>374</v>
      </c>
      <c r="F4406" s="55"/>
      <c r="H4406" s="24">
        <v>1011242.53</v>
      </c>
      <c r="I4406" s="24">
        <f t="shared" si="213"/>
        <v>1011242.53</v>
      </c>
    </row>
    <row r="4407" spans="5:9" ht="13.5" thickBot="1">
      <c r="E4407" s="56" t="s">
        <v>33</v>
      </c>
      <c r="F4407" s="56"/>
      <c r="G4407" s="26">
        <f>SUM(G4401:G4406)</f>
        <v>3776339754.02</v>
      </c>
      <c r="H4407" s="26">
        <f>SUM(H4401:H4406)</f>
        <v>27612918.410000004</v>
      </c>
      <c r="I4407" s="26">
        <f t="shared" si="213"/>
        <v>3803952672.43</v>
      </c>
    </row>
    <row r="4408" spans="5:9" ht="12.75">
      <c r="E4408" s="58" t="s">
        <v>344</v>
      </c>
      <c r="F4408" s="58"/>
      <c r="G4408" s="25"/>
      <c r="H4408" s="25"/>
      <c r="I4408" s="25"/>
    </row>
    <row r="4409" spans="4:9" ht="12.75">
      <c r="D4409" s="5" t="s">
        <v>772</v>
      </c>
      <c r="E4409" s="55" t="s">
        <v>773</v>
      </c>
      <c r="F4409" s="55"/>
      <c r="G4409" s="24">
        <f>+G4401+G4382+G4364+G4351+G4342</f>
        <v>26426989179.1</v>
      </c>
      <c r="H4409" s="24">
        <v>0</v>
      </c>
      <c r="I4409" s="24">
        <f aca="true" t="shared" si="214" ref="I4409:I4416">G4409+H4409</f>
        <v>26426989179.1</v>
      </c>
    </row>
    <row r="4410" spans="4:9" ht="12.75">
      <c r="D4410" s="5" t="s">
        <v>784</v>
      </c>
      <c r="E4410" s="55" t="s">
        <v>785</v>
      </c>
      <c r="F4410" s="55"/>
      <c r="H4410" s="24">
        <f>+H4402</f>
        <v>2971348.3</v>
      </c>
      <c r="I4410" s="24">
        <f t="shared" si="214"/>
        <v>2971348.3</v>
      </c>
    </row>
    <row r="4411" spans="4:9" ht="12.75">
      <c r="D4411" s="5" t="s">
        <v>778</v>
      </c>
      <c r="E4411" s="55" t="s">
        <v>779</v>
      </c>
      <c r="F4411" s="55"/>
      <c r="G4411" s="24">
        <v>0</v>
      </c>
      <c r="H4411" s="24">
        <f>+H4403</f>
        <v>20891186.42</v>
      </c>
      <c r="I4411" s="24">
        <f t="shared" si="214"/>
        <v>20891186.42</v>
      </c>
    </row>
    <row r="4412" spans="4:9" ht="12.75">
      <c r="D4412" s="5" t="s">
        <v>780</v>
      </c>
      <c r="E4412" s="55" t="s">
        <v>781</v>
      </c>
      <c r="F4412" s="55"/>
      <c r="G4412" s="24">
        <v>0</v>
      </c>
      <c r="H4412" s="24">
        <f>+H4404</f>
        <v>789037.07</v>
      </c>
      <c r="I4412" s="24">
        <f t="shared" si="214"/>
        <v>789037.07</v>
      </c>
    </row>
    <row r="4413" spans="4:9" ht="12.75">
      <c r="D4413" s="5" t="s">
        <v>825</v>
      </c>
      <c r="E4413" s="55" t="s">
        <v>905</v>
      </c>
      <c r="F4413" s="55"/>
      <c r="G4413" s="24">
        <v>0</v>
      </c>
      <c r="H4413" s="24">
        <f>+H4405</f>
        <v>1950104.09</v>
      </c>
      <c r="I4413" s="24">
        <f t="shared" si="214"/>
        <v>1950104.09</v>
      </c>
    </row>
    <row r="4414" spans="4:9" ht="12.75">
      <c r="D4414" s="5" t="s">
        <v>830</v>
      </c>
      <c r="E4414" s="55" t="s">
        <v>906</v>
      </c>
      <c r="F4414" s="55"/>
      <c r="G4414" s="24">
        <v>0</v>
      </c>
      <c r="H4414" s="24">
        <f>+H4365</f>
        <v>188412819.9</v>
      </c>
      <c r="I4414" s="24">
        <f t="shared" si="214"/>
        <v>188412819.9</v>
      </c>
    </row>
    <row r="4415" spans="4:9" ht="13.5" thickBot="1">
      <c r="D4415" s="5" t="s">
        <v>979</v>
      </c>
      <c r="E4415" s="55" t="s">
        <v>374</v>
      </c>
      <c r="F4415" s="55"/>
      <c r="G4415" s="24">
        <v>0</v>
      </c>
      <c r="H4415" s="24">
        <f>+H4406</f>
        <v>1011242.53</v>
      </c>
      <c r="I4415" s="24">
        <f t="shared" si="214"/>
        <v>1011242.53</v>
      </c>
    </row>
    <row r="4416" spans="5:9" ht="13.5" thickBot="1">
      <c r="E4416" s="56" t="s">
        <v>345</v>
      </c>
      <c r="F4416" s="56"/>
      <c r="G4416" s="26">
        <f>SUM(G4409:G4415)</f>
        <v>26426989179.1</v>
      </c>
      <c r="H4416" s="26">
        <f>SUM(H4409:H4415)</f>
        <v>216025738.31</v>
      </c>
      <c r="I4416" s="26">
        <f t="shared" si="214"/>
        <v>26643014917.41</v>
      </c>
    </row>
    <row r="4417" spans="5:9" ht="12.75">
      <c r="E4417" s="12"/>
      <c r="F4417" s="12"/>
      <c r="G4417" s="29"/>
      <c r="H4417" s="29"/>
      <c r="I4417" s="29"/>
    </row>
    <row r="4418" spans="1:9" ht="25.5" customHeight="1">
      <c r="A4418" s="8" t="s">
        <v>766</v>
      </c>
      <c r="B4418" s="8" t="s">
        <v>501</v>
      </c>
      <c r="C4418" s="8"/>
      <c r="D4418" s="9"/>
      <c r="E4418" s="57" t="s">
        <v>235</v>
      </c>
      <c r="F4418" s="57"/>
      <c r="G4418" s="37"/>
      <c r="H4418" s="37"/>
      <c r="I4418" s="37"/>
    </row>
    <row r="4419" spans="1:9" ht="12.75">
      <c r="A4419" s="8"/>
      <c r="B4419" s="8"/>
      <c r="C4419" s="8" t="s">
        <v>843</v>
      </c>
      <c r="D4419" s="9"/>
      <c r="E4419" s="57" t="s">
        <v>844</v>
      </c>
      <c r="F4419" s="57"/>
      <c r="G4419" s="37"/>
      <c r="H4419" s="37"/>
      <c r="I4419" s="37"/>
    </row>
    <row r="4420" spans="2:9" ht="12.75">
      <c r="B4420" s="4"/>
      <c r="D4420" s="5" t="s">
        <v>913</v>
      </c>
      <c r="E4420" s="55" t="s">
        <v>881</v>
      </c>
      <c r="F4420" s="55"/>
      <c r="G4420" s="37"/>
      <c r="H4420" s="24">
        <v>87739.95</v>
      </c>
      <c r="I4420" s="24">
        <f>G4420+H4420</f>
        <v>87739.95</v>
      </c>
    </row>
    <row r="4421" spans="2:9" ht="13.5" thickBot="1">
      <c r="B4421" s="4"/>
      <c r="D4421" s="5" t="s">
        <v>753</v>
      </c>
      <c r="E4421" s="55" t="s">
        <v>211</v>
      </c>
      <c r="F4421" s="55"/>
      <c r="G4421" s="38"/>
      <c r="H4421" s="24">
        <v>23479307.13</v>
      </c>
      <c r="I4421" s="24">
        <f>G4421+H4421</f>
        <v>23479307.13</v>
      </c>
    </row>
    <row r="4422" spans="2:9" ht="12.75">
      <c r="B4422" s="4"/>
      <c r="E4422" s="58" t="s">
        <v>17</v>
      </c>
      <c r="F4422" s="58"/>
      <c r="G4422" s="37"/>
      <c r="H4422" s="25"/>
      <c r="I4422" s="25"/>
    </row>
    <row r="4423" spans="2:9" ht="12.75">
      <c r="B4423" s="4"/>
      <c r="D4423" s="5" t="s">
        <v>784</v>
      </c>
      <c r="E4423" s="55" t="s">
        <v>785</v>
      </c>
      <c r="F4423" s="55"/>
      <c r="G4423" s="37"/>
      <c r="H4423" s="24">
        <v>87739.95</v>
      </c>
      <c r="I4423" s="24">
        <f>G4423+H4423</f>
        <v>87739.95</v>
      </c>
    </row>
    <row r="4424" spans="2:9" ht="13.5" thickBot="1">
      <c r="B4424" s="4"/>
      <c r="D4424" s="5" t="s">
        <v>825</v>
      </c>
      <c r="E4424" s="55" t="s">
        <v>905</v>
      </c>
      <c r="F4424" s="55"/>
      <c r="G4424" s="38"/>
      <c r="H4424" s="24">
        <v>23479307.13</v>
      </c>
      <c r="I4424" s="24">
        <f>G4424+H4424</f>
        <v>23479307.13</v>
      </c>
    </row>
    <row r="4425" spans="2:9" ht="13.5" thickBot="1">
      <c r="B4425" s="4"/>
      <c r="E4425" s="56" t="s">
        <v>18</v>
      </c>
      <c r="F4425" s="56"/>
      <c r="G4425" s="38"/>
      <c r="H4425" s="26">
        <f>SUM(H4423:H4424)</f>
        <v>23567047.08</v>
      </c>
      <c r="I4425" s="26">
        <f>G4425+H4425</f>
        <v>23567047.08</v>
      </c>
    </row>
    <row r="4426" spans="2:9" ht="12.75">
      <c r="B4426" s="4"/>
      <c r="E4426" s="58" t="s">
        <v>649</v>
      </c>
      <c r="F4426" s="58"/>
      <c r="G4426" s="37"/>
      <c r="H4426" s="25"/>
      <c r="I4426" s="25"/>
    </row>
    <row r="4427" spans="2:9" ht="12.75">
      <c r="B4427" s="4"/>
      <c r="D4427" s="5" t="s">
        <v>784</v>
      </c>
      <c r="E4427" s="55" t="s">
        <v>785</v>
      </c>
      <c r="F4427" s="55"/>
      <c r="G4427" s="37"/>
      <c r="H4427" s="24">
        <f>+H4423</f>
        <v>87739.95</v>
      </c>
      <c r="I4427" s="24">
        <f>G4427+H4427</f>
        <v>87739.95</v>
      </c>
    </row>
    <row r="4428" spans="2:9" ht="13.5" thickBot="1">
      <c r="B4428" s="4"/>
      <c r="D4428" s="5" t="s">
        <v>825</v>
      </c>
      <c r="E4428" s="55" t="s">
        <v>905</v>
      </c>
      <c r="F4428" s="55"/>
      <c r="G4428" s="38"/>
      <c r="H4428" s="24">
        <f>+H4424</f>
        <v>23479307.13</v>
      </c>
      <c r="I4428" s="24">
        <f>G4428+H4428</f>
        <v>23479307.13</v>
      </c>
    </row>
    <row r="4429" spans="2:9" ht="13.5" thickBot="1">
      <c r="B4429" s="4"/>
      <c r="E4429" s="56" t="s">
        <v>650</v>
      </c>
      <c r="F4429" s="56"/>
      <c r="G4429" s="38"/>
      <c r="H4429" s="26">
        <f>SUM(H4427:H4428)</f>
        <v>23567047.08</v>
      </c>
      <c r="I4429" s="26">
        <f>G4429+H4429</f>
        <v>23567047.08</v>
      </c>
    </row>
    <row r="4430" spans="2:9" ht="12.75">
      <c r="B4430" s="4"/>
      <c r="G4430" s="37"/>
      <c r="H4430" s="37"/>
      <c r="I4430" s="37"/>
    </row>
    <row r="4431" spans="1:9" ht="27" customHeight="1">
      <c r="A4431" s="8" t="s">
        <v>766</v>
      </c>
      <c r="B4431" s="8" t="s">
        <v>500</v>
      </c>
      <c r="C4431" s="8"/>
      <c r="D4431" s="9"/>
      <c r="E4431" s="57" t="s">
        <v>461</v>
      </c>
      <c r="F4431" s="57"/>
      <c r="G4431" s="37"/>
      <c r="H4431" s="37"/>
      <c r="I4431" s="37"/>
    </row>
    <row r="4432" spans="1:9" ht="12.75">
      <c r="A4432" s="8"/>
      <c r="B4432" s="8"/>
      <c r="C4432" s="8" t="s">
        <v>843</v>
      </c>
      <c r="D4432" s="9"/>
      <c r="E4432" s="57" t="s">
        <v>844</v>
      </c>
      <c r="F4432" s="57"/>
      <c r="G4432" s="37"/>
      <c r="H4432" s="37"/>
      <c r="I4432" s="37"/>
    </row>
    <row r="4433" spans="2:9" ht="12.75">
      <c r="B4433" s="4"/>
      <c r="D4433" s="5" t="s">
        <v>923</v>
      </c>
      <c r="E4433" s="55" t="s">
        <v>883</v>
      </c>
      <c r="F4433" s="55"/>
      <c r="G4433" s="37"/>
      <c r="H4433" s="24">
        <v>2787837.36</v>
      </c>
      <c r="I4433" s="24">
        <f>G4433+H4433</f>
        <v>2787837.36</v>
      </c>
    </row>
    <row r="4434" spans="2:9" ht="13.5" thickBot="1">
      <c r="B4434" s="4"/>
      <c r="D4434" s="5" t="s">
        <v>753</v>
      </c>
      <c r="E4434" s="55" t="s">
        <v>211</v>
      </c>
      <c r="F4434" s="55"/>
      <c r="G4434" s="38"/>
      <c r="H4434" s="24">
        <v>102584259.26</v>
      </c>
      <c r="I4434" s="24">
        <f>G4434+H4434</f>
        <v>102584259.26</v>
      </c>
    </row>
    <row r="4435" spans="2:9" ht="12.75">
      <c r="B4435" s="4"/>
      <c r="E4435" s="58" t="s">
        <v>17</v>
      </c>
      <c r="F4435" s="58"/>
      <c r="G4435" s="37"/>
      <c r="H4435" s="25"/>
      <c r="I4435" s="25"/>
    </row>
    <row r="4436" spans="2:9" ht="12.75">
      <c r="B4436" s="4"/>
      <c r="D4436" s="5" t="s">
        <v>784</v>
      </c>
      <c r="E4436" s="55" t="s">
        <v>785</v>
      </c>
      <c r="F4436" s="55"/>
      <c r="G4436" s="37"/>
      <c r="H4436" s="24">
        <v>89082438.48</v>
      </c>
      <c r="I4436" s="24">
        <f>G4436+H4436</f>
        <v>89082438.48</v>
      </c>
    </row>
    <row r="4437" spans="2:9" ht="13.5" thickBot="1">
      <c r="B4437" s="4"/>
      <c r="D4437" s="5" t="s">
        <v>825</v>
      </c>
      <c r="E4437" s="55" t="s">
        <v>905</v>
      </c>
      <c r="F4437" s="55"/>
      <c r="G4437" s="38"/>
      <c r="H4437" s="24">
        <v>16289658.14</v>
      </c>
      <c r="I4437" s="24">
        <f>G4437+H4437</f>
        <v>16289658.14</v>
      </c>
    </row>
    <row r="4438" spans="2:9" ht="13.5" thickBot="1">
      <c r="B4438" s="4"/>
      <c r="E4438" s="56" t="s">
        <v>18</v>
      </c>
      <c r="F4438" s="56"/>
      <c r="G4438" s="38"/>
      <c r="H4438" s="26">
        <f>SUM(H4436:H4437)</f>
        <v>105372096.62</v>
      </c>
      <c r="I4438" s="26">
        <f>G4438+H4438</f>
        <v>105372096.62</v>
      </c>
    </row>
    <row r="4439" spans="2:9" ht="12.75">
      <c r="B4439" s="4"/>
      <c r="E4439" s="58" t="s">
        <v>651</v>
      </c>
      <c r="F4439" s="58"/>
      <c r="G4439" s="37"/>
      <c r="H4439" s="25"/>
      <c r="I4439" s="25"/>
    </row>
    <row r="4440" spans="2:9" ht="12.75">
      <c r="B4440" s="4"/>
      <c r="D4440" s="5" t="s">
        <v>784</v>
      </c>
      <c r="E4440" s="55" t="s">
        <v>785</v>
      </c>
      <c r="F4440" s="55"/>
      <c r="G4440" s="37"/>
      <c r="H4440" s="24">
        <f>+H4436</f>
        <v>89082438.48</v>
      </c>
      <c r="I4440" s="24">
        <f>G4440+H4440</f>
        <v>89082438.48</v>
      </c>
    </row>
    <row r="4441" spans="2:9" ht="13.5" thickBot="1">
      <c r="B4441" s="4"/>
      <c r="D4441" s="5" t="s">
        <v>825</v>
      </c>
      <c r="E4441" s="55" t="s">
        <v>905</v>
      </c>
      <c r="F4441" s="55"/>
      <c r="G4441" s="38"/>
      <c r="H4441" s="24">
        <f>+H4437</f>
        <v>16289658.14</v>
      </c>
      <c r="I4441" s="24">
        <f>G4441+H4441</f>
        <v>16289658.14</v>
      </c>
    </row>
    <row r="4442" spans="2:9" ht="13.5" thickBot="1">
      <c r="B4442" s="4"/>
      <c r="E4442" s="56" t="s">
        <v>652</v>
      </c>
      <c r="F4442" s="56"/>
      <c r="G4442" s="38"/>
      <c r="H4442" s="26">
        <f>SUM(H4440:H4441)</f>
        <v>105372096.62</v>
      </c>
      <c r="I4442" s="26">
        <f>G4442+H4442</f>
        <v>105372096.62</v>
      </c>
    </row>
    <row r="4443" spans="2:9" ht="12.75">
      <c r="B4443" s="4"/>
      <c r="G4443" s="37"/>
      <c r="H4443" s="37"/>
      <c r="I4443" s="37"/>
    </row>
    <row r="4444" spans="1:9" ht="12.75">
      <c r="A4444" s="8" t="s">
        <v>766</v>
      </c>
      <c r="B4444" s="8" t="s">
        <v>499</v>
      </c>
      <c r="C4444" s="8"/>
      <c r="D4444" s="9"/>
      <c r="E4444" s="57" t="s">
        <v>236</v>
      </c>
      <c r="F4444" s="57"/>
      <c r="G4444" s="37"/>
      <c r="H4444" s="37"/>
      <c r="I4444" s="37"/>
    </row>
    <row r="4445" spans="1:9" ht="25.5" customHeight="1">
      <c r="A4445" s="8"/>
      <c r="B4445" s="8"/>
      <c r="C4445" s="8" t="s">
        <v>841</v>
      </c>
      <c r="D4445" s="9"/>
      <c r="E4445" s="57" t="s">
        <v>842</v>
      </c>
      <c r="F4445" s="57"/>
      <c r="G4445" s="37"/>
      <c r="H4445" s="37"/>
      <c r="I4445" s="37"/>
    </row>
    <row r="4446" spans="2:9" ht="12.75">
      <c r="B4446" s="4"/>
      <c r="D4446" s="5" t="s">
        <v>915</v>
      </c>
      <c r="E4446" s="55" t="s">
        <v>879</v>
      </c>
      <c r="F4446" s="55"/>
      <c r="G4446" s="37"/>
      <c r="H4446" s="24">
        <v>1990770</v>
      </c>
      <c r="I4446" s="24">
        <f aca="true" t="shared" si="215" ref="I4446:I4454">G4446+H4446</f>
        <v>1990770</v>
      </c>
    </row>
    <row r="4447" spans="2:9" ht="12.75">
      <c r="B4447" s="4"/>
      <c r="D4447" s="5" t="s">
        <v>916</v>
      </c>
      <c r="E4447" s="55" t="s">
        <v>882</v>
      </c>
      <c r="F4447" s="55"/>
      <c r="G4447" s="37"/>
      <c r="H4447" s="24">
        <v>1818700</v>
      </c>
      <c r="I4447" s="24">
        <f t="shared" si="215"/>
        <v>1818700</v>
      </c>
    </row>
    <row r="4448" spans="2:9" ht="12.75">
      <c r="B4448" s="4"/>
      <c r="D4448" s="5" t="s">
        <v>924</v>
      </c>
      <c r="E4448" s="55" t="s">
        <v>203</v>
      </c>
      <c r="F4448" s="55"/>
      <c r="G4448" s="37"/>
      <c r="H4448" s="24">
        <v>586918</v>
      </c>
      <c r="I4448" s="24">
        <f t="shared" si="215"/>
        <v>586918</v>
      </c>
    </row>
    <row r="4449" spans="2:9" ht="12.75">
      <c r="B4449" s="4"/>
      <c r="D4449" s="5" t="s">
        <v>925</v>
      </c>
      <c r="E4449" s="55" t="s">
        <v>884</v>
      </c>
      <c r="F4449" s="55"/>
      <c r="G4449" s="37"/>
      <c r="H4449" s="24">
        <v>404195.48</v>
      </c>
      <c r="I4449" s="24">
        <f t="shared" si="215"/>
        <v>404195.48</v>
      </c>
    </row>
    <row r="4450" spans="2:9" ht="12.75">
      <c r="B4450" s="4"/>
      <c r="D4450" s="5" t="s">
        <v>750</v>
      </c>
      <c r="E4450" s="55" t="s">
        <v>887</v>
      </c>
      <c r="F4450" s="55"/>
      <c r="G4450" s="37"/>
      <c r="H4450" s="24">
        <v>8246357.91</v>
      </c>
      <c r="I4450" s="24">
        <f t="shared" si="215"/>
        <v>8246357.91</v>
      </c>
    </row>
    <row r="4451" spans="2:9" ht="12.75">
      <c r="B4451" s="4"/>
      <c r="D4451" s="5" t="s">
        <v>753</v>
      </c>
      <c r="E4451" s="55" t="s">
        <v>211</v>
      </c>
      <c r="F4451" s="55"/>
      <c r="G4451" s="37"/>
      <c r="H4451" s="24">
        <v>9459999.13</v>
      </c>
      <c r="I4451" s="24">
        <f t="shared" si="215"/>
        <v>9459999.13</v>
      </c>
    </row>
    <row r="4452" spans="2:9" ht="12.75">
      <c r="B4452" s="4"/>
      <c r="D4452" s="5" t="s">
        <v>754</v>
      </c>
      <c r="E4452" s="55" t="s">
        <v>212</v>
      </c>
      <c r="F4452" s="55"/>
      <c r="G4452" s="37"/>
      <c r="H4452" s="24">
        <v>114781</v>
      </c>
      <c r="I4452" s="24">
        <f t="shared" si="215"/>
        <v>114781</v>
      </c>
    </row>
    <row r="4453" spans="2:9" ht="12.75">
      <c r="B4453" s="4"/>
      <c r="D4453" s="5" t="s">
        <v>926</v>
      </c>
      <c r="E4453" s="55" t="s">
        <v>885</v>
      </c>
      <c r="F4453" s="55"/>
      <c r="G4453" s="37"/>
      <c r="H4453" s="24">
        <v>130168149.3</v>
      </c>
      <c r="I4453" s="24">
        <f t="shared" si="215"/>
        <v>130168149.3</v>
      </c>
    </row>
    <row r="4454" spans="2:9" ht="13.5" thickBot="1">
      <c r="B4454" s="4"/>
      <c r="D4454" s="5" t="s">
        <v>927</v>
      </c>
      <c r="E4454" s="55" t="s">
        <v>886</v>
      </c>
      <c r="F4454" s="55"/>
      <c r="G4454" s="38"/>
      <c r="H4454" s="24">
        <v>10256226</v>
      </c>
      <c r="I4454" s="24">
        <f t="shared" si="215"/>
        <v>10256226</v>
      </c>
    </row>
    <row r="4455" spans="2:9" ht="12.75">
      <c r="B4455" s="4"/>
      <c r="E4455" s="58" t="s">
        <v>53</v>
      </c>
      <c r="F4455" s="58"/>
      <c r="G4455" s="37"/>
      <c r="H4455" s="25"/>
      <c r="I4455" s="25"/>
    </row>
    <row r="4456" spans="2:9" ht="12.75">
      <c r="B4456" s="4"/>
      <c r="D4456" s="5" t="s">
        <v>784</v>
      </c>
      <c r="E4456" s="55" t="s">
        <v>785</v>
      </c>
      <c r="F4456" s="55"/>
      <c r="G4456" s="37"/>
      <c r="H4456" s="24">
        <v>107828253.82</v>
      </c>
      <c r="I4456" s="24">
        <f>G4456+H4456</f>
        <v>107828253.82</v>
      </c>
    </row>
    <row r="4457" spans="2:9" ht="13.5" thickBot="1">
      <c r="B4457" s="4"/>
      <c r="D4457" s="5" t="s">
        <v>825</v>
      </c>
      <c r="E4457" s="55" t="s">
        <v>905</v>
      </c>
      <c r="F4457" s="55"/>
      <c r="G4457" s="38"/>
      <c r="H4457" s="24">
        <v>55217843</v>
      </c>
      <c r="I4457" s="24">
        <f>G4457+H4457</f>
        <v>55217843</v>
      </c>
    </row>
    <row r="4458" spans="2:9" ht="13.5" thickBot="1">
      <c r="B4458" s="4"/>
      <c r="E4458" s="56" t="s">
        <v>54</v>
      </c>
      <c r="F4458" s="56"/>
      <c r="G4458" s="38"/>
      <c r="H4458" s="26">
        <f>SUM(H4456:H4457)</f>
        <v>163046096.82</v>
      </c>
      <c r="I4458" s="26">
        <f>G4458+H4458</f>
        <v>163046096.82</v>
      </c>
    </row>
    <row r="4459" spans="2:9" ht="12.75">
      <c r="B4459" s="4"/>
      <c r="E4459" s="58" t="s">
        <v>653</v>
      </c>
      <c r="F4459" s="58"/>
      <c r="G4459" s="37"/>
      <c r="H4459" s="25"/>
      <c r="I4459" s="25"/>
    </row>
    <row r="4460" spans="2:9" ht="12.75">
      <c r="B4460" s="4"/>
      <c r="D4460" s="5" t="s">
        <v>784</v>
      </c>
      <c r="E4460" s="55" t="s">
        <v>785</v>
      </c>
      <c r="F4460" s="55"/>
      <c r="G4460" s="37"/>
      <c r="H4460" s="24">
        <f>+H4456</f>
        <v>107828253.82</v>
      </c>
      <c r="I4460" s="24">
        <f>G4460+H4460</f>
        <v>107828253.82</v>
      </c>
    </row>
    <row r="4461" spans="2:9" ht="13.5" thickBot="1">
      <c r="B4461" s="4"/>
      <c r="D4461" s="5" t="s">
        <v>825</v>
      </c>
      <c r="E4461" s="55" t="s">
        <v>905</v>
      </c>
      <c r="F4461" s="55"/>
      <c r="G4461" s="38"/>
      <c r="H4461" s="24">
        <f>+H4457</f>
        <v>55217843</v>
      </c>
      <c r="I4461" s="24">
        <f>G4461+H4461</f>
        <v>55217843</v>
      </c>
    </row>
    <row r="4462" spans="2:9" ht="13.5" thickBot="1">
      <c r="B4462" s="4"/>
      <c r="E4462" s="56" t="s">
        <v>654</v>
      </c>
      <c r="F4462" s="56"/>
      <c r="G4462" s="38"/>
      <c r="H4462" s="26">
        <f>SUM(H4460:H4461)</f>
        <v>163046096.82</v>
      </c>
      <c r="I4462" s="26">
        <f>G4462+H4462</f>
        <v>163046096.82</v>
      </c>
    </row>
    <row r="4463" spans="2:7" ht="7.5" customHeight="1">
      <c r="B4463" s="4"/>
      <c r="G4463" s="37"/>
    </row>
    <row r="4464" spans="1:9" ht="12.75">
      <c r="A4464" s="8" t="s">
        <v>766</v>
      </c>
      <c r="B4464" s="8" t="s">
        <v>498</v>
      </c>
      <c r="C4464" s="8"/>
      <c r="D4464" s="9"/>
      <c r="E4464" s="57" t="s">
        <v>237</v>
      </c>
      <c r="F4464" s="57"/>
      <c r="G4464" s="37"/>
      <c r="H4464" s="37"/>
      <c r="I4464" s="37"/>
    </row>
    <row r="4465" spans="1:9" ht="27" customHeight="1">
      <c r="A4465" s="8"/>
      <c r="B4465" s="8"/>
      <c r="C4465" s="8" t="s">
        <v>802</v>
      </c>
      <c r="D4465" s="9"/>
      <c r="E4465" s="57" t="s">
        <v>803</v>
      </c>
      <c r="F4465" s="57"/>
      <c r="G4465" s="37"/>
      <c r="H4465" s="37"/>
      <c r="I4465" s="37"/>
    </row>
    <row r="4466" spans="2:9" ht="12.75">
      <c r="B4466" s="4"/>
      <c r="D4466" s="5" t="s">
        <v>913</v>
      </c>
      <c r="E4466" s="55" t="s">
        <v>881</v>
      </c>
      <c r="F4466" s="55"/>
      <c r="G4466" s="24">
        <v>55749.93</v>
      </c>
      <c r="H4466" s="37"/>
      <c r="I4466" s="24">
        <f aca="true" t="shared" si="216" ref="I4466:I4471">G4466+H4466</f>
        <v>55749.93</v>
      </c>
    </row>
    <row r="4467" spans="2:9" ht="12.75">
      <c r="B4467" s="4"/>
      <c r="D4467" s="5" t="s">
        <v>915</v>
      </c>
      <c r="E4467" s="55" t="s">
        <v>879</v>
      </c>
      <c r="F4467" s="55"/>
      <c r="G4467" s="24">
        <v>163422.76</v>
      </c>
      <c r="H4467" s="37"/>
      <c r="I4467" s="24">
        <f t="shared" si="216"/>
        <v>163422.76</v>
      </c>
    </row>
    <row r="4468" spans="2:9" ht="12.75">
      <c r="B4468" s="4"/>
      <c r="D4468" s="5" t="s">
        <v>916</v>
      </c>
      <c r="E4468" s="55" t="s">
        <v>882</v>
      </c>
      <c r="F4468" s="55"/>
      <c r="G4468" s="24">
        <v>2600334</v>
      </c>
      <c r="H4468" s="37"/>
      <c r="I4468" s="24">
        <f t="shared" si="216"/>
        <v>2600334</v>
      </c>
    </row>
    <row r="4469" spans="2:9" ht="13.5" thickBot="1">
      <c r="B4469" s="4"/>
      <c r="D4469" s="5" t="s">
        <v>925</v>
      </c>
      <c r="E4469" s="55" t="s">
        <v>884</v>
      </c>
      <c r="F4469" s="55"/>
      <c r="G4469" s="24">
        <v>67212</v>
      </c>
      <c r="H4469" s="38"/>
      <c r="I4469" s="24">
        <f t="shared" si="216"/>
        <v>67212</v>
      </c>
    </row>
    <row r="4470" spans="2:9" ht="12.75">
      <c r="B4470" s="4"/>
      <c r="E4470" s="58" t="s">
        <v>32</v>
      </c>
      <c r="F4470" s="58"/>
      <c r="G4470" s="25"/>
      <c r="H4470" s="37"/>
      <c r="I4470" s="25"/>
    </row>
    <row r="4471" spans="2:9" ht="13.5" thickBot="1">
      <c r="B4471" s="4"/>
      <c r="D4471" s="5" t="s">
        <v>772</v>
      </c>
      <c r="E4471" s="55" t="s">
        <v>773</v>
      </c>
      <c r="F4471" s="55"/>
      <c r="G4471" s="24">
        <f>SUM(G4466:G4470)</f>
        <v>2886718.69</v>
      </c>
      <c r="H4471" s="38"/>
      <c r="I4471" s="24">
        <f t="shared" si="216"/>
        <v>2886718.69</v>
      </c>
    </row>
    <row r="4472" spans="2:9" ht="13.5" thickBot="1">
      <c r="B4472" s="4"/>
      <c r="E4472" s="56" t="s">
        <v>33</v>
      </c>
      <c r="F4472" s="56"/>
      <c r="G4472" s="26">
        <f>SUM(G4471:G4471)</f>
        <v>2886718.69</v>
      </c>
      <c r="H4472" s="38"/>
      <c r="I4472" s="26">
        <f>G4472+H4472</f>
        <v>2886718.69</v>
      </c>
    </row>
    <row r="4473" spans="2:9" ht="12.75">
      <c r="B4473" s="4"/>
      <c r="E4473" s="58" t="s">
        <v>655</v>
      </c>
      <c r="F4473" s="58"/>
      <c r="G4473" s="25"/>
      <c r="H4473" s="37"/>
      <c r="I4473" s="25"/>
    </row>
    <row r="4474" spans="2:9" ht="13.5" thickBot="1">
      <c r="B4474" s="4"/>
      <c r="D4474" s="5" t="s">
        <v>772</v>
      </c>
      <c r="E4474" s="55" t="s">
        <v>773</v>
      </c>
      <c r="F4474" s="55"/>
      <c r="G4474" s="24">
        <f>+G4471</f>
        <v>2886718.69</v>
      </c>
      <c r="H4474" s="38"/>
      <c r="I4474" s="24">
        <f>G4474+H4474</f>
        <v>2886718.69</v>
      </c>
    </row>
    <row r="4475" spans="2:9" ht="13.5" thickBot="1">
      <c r="B4475" s="4"/>
      <c r="E4475" s="56" t="s">
        <v>656</v>
      </c>
      <c r="F4475" s="56"/>
      <c r="G4475" s="26">
        <f>SUM(G4474:G4474)</f>
        <v>2886718.69</v>
      </c>
      <c r="H4475" s="38"/>
      <c r="I4475" s="26">
        <f>G4475+H4475</f>
        <v>2886718.69</v>
      </c>
    </row>
    <row r="4476" spans="2:9" ht="12.75">
      <c r="B4476" s="4"/>
      <c r="E4476" s="58" t="s">
        <v>657</v>
      </c>
      <c r="F4476" s="58"/>
      <c r="G4476" s="37"/>
      <c r="H4476" s="37"/>
      <c r="I4476" s="37"/>
    </row>
    <row r="4477" spans="2:9" ht="12.75">
      <c r="B4477" s="4"/>
      <c r="D4477" s="5" t="s">
        <v>772</v>
      </c>
      <c r="E4477" s="55" t="s">
        <v>773</v>
      </c>
      <c r="F4477" s="55"/>
      <c r="G4477" s="24">
        <f>+G4474+G4409</f>
        <v>26429875897.789997</v>
      </c>
      <c r="H4477" s="24">
        <v>0</v>
      </c>
      <c r="I4477" s="24">
        <f aca="true" t="shared" si="217" ref="I4477:I4484">G4477+H4477</f>
        <v>26429875897.789997</v>
      </c>
    </row>
    <row r="4478" spans="2:9" ht="12.75">
      <c r="B4478" s="4"/>
      <c r="D4478" s="5" t="s">
        <v>784</v>
      </c>
      <c r="E4478" s="55" t="s">
        <v>785</v>
      </c>
      <c r="F4478" s="55"/>
      <c r="G4478" s="24">
        <v>0</v>
      </c>
      <c r="H4478" s="24">
        <f>+H4460+H4440+H4427+H4410</f>
        <v>199969780.55</v>
      </c>
      <c r="I4478" s="24">
        <f t="shared" si="217"/>
        <v>199969780.55</v>
      </c>
    </row>
    <row r="4479" spans="2:9" ht="12.75">
      <c r="B4479" s="4"/>
      <c r="D4479" s="5" t="s">
        <v>778</v>
      </c>
      <c r="E4479" s="55" t="s">
        <v>779</v>
      </c>
      <c r="F4479" s="55"/>
      <c r="G4479" s="24">
        <v>0</v>
      </c>
      <c r="H4479" s="24">
        <f>+H4411</f>
        <v>20891186.42</v>
      </c>
      <c r="I4479" s="24">
        <f t="shared" si="217"/>
        <v>20891186.42</v>
      </c>
    </row>
    <row r="4480" spans="2:9" ht="12.75">
      <c r="B4480" s="4"/>
      <c r="D4480" s="5" t="s">
        <v>780</v>
      </c>
      <c r="E4480" s="55" t="s">
        <v>781</v>
      </c>
      <c r="F4480" s="55"/>
      <c r="G4480" s="24">
        <v>0</v>
      </c>
      <c r="H4480" s="24">
        <f>+H4412</f>
        <v>789037.07</v>
      </c>
      <c r="I4480" s="24">
        <f t="shared" si="217"/>
        <v>789037.07</v>
      </c>
    </row>
    <row r="4481" spans="2:9" ht="12.75">
      <c r="B4481" s="4"/>
      <c r="D4481" s="5" t="s">
        <v>825</v>
      </c>
      <c r="E4481" s="55" t="s">
        <v>905</v>
      </c>
      <c r="F4481" s="55"/>
      <c r="G4481" s="24">
        <v>0</v>
      </c>
      <c r="H4481" s="24">
        <f>+H4461+H4441+H4428+H4413</f>
        <v>96936912.36</v>
      </c>
      <c r="I4481" s="24">
        <f t="shared" si="217"/>
        <v>96936912.36</v>
      </c>
    </row>
    <row r="4482" spans="2:9" ht="12.75">
      <c r="B4482" s="4"/>
      <c r="D4482" s="5" t="s">
        <v>830</v>
      </c>
      <c r="E4482" s="55" t="s">
        <v>906</v>
      </c>
      <c r="F4482" s="55"/>
      <c r="G4482" s="24">
        <v>0</v>
      </c>
      <c r="H4482" s="24">
        <f>+H4414</f>
        <v>188412819.9</v>
      </c>
      <c r="I4482" s="24">
        <f t="shared" si="217"/>
        <v>188412819.9</v>
      </c>
    </row>
    <row r="4483" spans="2:9" ht="13.5" thickBot="1">
      <c r="B4483" s="4"/>
      <c r="D4483" s="5" t="s">
        <v>979</v>
      </c>
      <c r="E4483" s="55" t="s">
        <v>374</v>
      </c>
      <c r="F4483" s="55"/>
      <c r="G4483" s="24">
        <v>0</v>
      </c>
      <c r="H4483" s="24">
        <f>+H4415</f>
        <v>1011242.53</v>
      </c>
      <c r="I4483" s="24">
        <f t="shared" si="217"/>
        <v>1011242.53</v>
      </c>
    </row>
    <row r="4484" spans="2:9" ht="13.5" thickBot="1">
      <c r="B4484" s="4"/>
      <c r="E4484" s="56" t="s">
        <v>658</v>
      </c>
      <c r="F4484" s="56"/>
      <c r="G4484" s="26">
        <f>SUM(G4477:G4483)</f>
        <v>26429875897.789997</v>
      </c>
      <c r="H4484" s="26">
        <f>SUM(H4477:H4483)</f>
        <v>508010978.83000004</v>
      </c>
      <c r="I4484" s="26">
        <f t="shared" si="217"/>
        <v>26937886876.62</v>
      </c>
    </row>
    <row r="4485" ht="8.25" customHeight="1"/>
    <row r="4486" spans="1:6" ht="12.75">
      <c r="A4486" s="8">
        <v>66</v>
      </c>
      <c r="B4486" s="9" t="s">
        <v>766</v>
      </c>
      <c r="C4486" s="8"/>
      <c r="D4486" s="9"/>
      <c r="E4486" s="57" t="s">
        <v>238</v>
      </c>
      <c r="F4486" s="57"/>
    </row>
    <row r="4487" spans="1:6" ht="12.75">
      <c r="A4487" s="8"/>
      <c r="B4487" s="9"/>
      <c r="C4487" s="8" t="s">
        <v>849</v>
      </c>
      <c r="D4487" s="9"/>
      <c r="E4487" s="57" t="s">
        <v>850</v>
      </c>
      <c r="F4487" s="57"/>
    </row>
    <row r="4488" spans="4:9" ht="12.75">
      <c r="D4488" s="5" t="s">
        <v>911</v>
      </c>
      <c r="E4488" s="55" t="s">
        <v>199</v>
      </c>
      <c r="F4488" s="55"/>
      <c r="G4488" s="24">
        <v>108426671.08</v>
      </c>
      <c r="I4488" s="24">
        <f aca="true" t="shared" si="218" ref="I4488:I4502">G4488+H4488</f>
        <v>108426671.08</v>
      </c>
    </row>
    <row r="4489" spans="4:9" ht="12.75">
      <c r="D4489" s="5" t="s">
        <v>912</v>
      </c>
      <c r="E4489" s="55" t="s">
        <v>877</v>
      </c>
      <c r="F4489" s="55"/>
      <c r="G4489" s="24">
        <v>19544272.09</v>
      </c>
      <c r="I4489" s="24">
        <f t="shared" si="218"/>
        <v>19544272.09</v>
      </c>
    </row>
    <row r="4490" spans="4:9" ht="12.75">
      <c r="D4490" s="5" t="s">
        <v>921</v>
      </c>
      <c r="E4490" s="55" t="s">
        <v>880</v>
      </c>
      <c r="F4490" s="55"/>
      <c r="G4490" s="24">
        <v>269511.81</v>
      </c>
      <c r="I4490" s="24">
        <f t="shared" si="218"/>
        <v>269511.81</v>
      </c>
    </row>
    <row r="4491" spans="4:9" ht="12.75">
      <c r="D4491" s="5" t="s">
        <v>919</v>
      </c>
      <c r="E4491" s="55" t="s">
        <v>200</v>
      </c>
      <c r="F4491" s="55"/>
      <c r="G4491" s="24">
        <v>2451441.28</v>
      </c>
      <c r="I4491" s="24">
        <f t="shared" si="218"/>
        <v>2451441.28</v>
      </c>
    </row>
    <row r="4492" spans="4:9" ht="12.75">
      <c r="D4492" s="5" t="s">
        <v>913</v>
      </c>
      <c r="E4492" s="55" t="s">
        <v>881</v>
      </c>
      <c r="F4492" s="55"/>
      <c r="G4492" s="24">
        <v>8956957.98</v>
      </c>
      <c r="I4492" s="24">
        <f t="shared" si="218"/>
        <v>8956957.98</v>
      </c>
    </row>
    <row r="4493" spans="4:9" ht="12.75">
      <c r="D4493" s="5" t="s">
        <v>915</v>
      </c>
      <c r="E4493" s="55" t="s">
        <v>879</v>
      </c>
      <c r="F4493" s="55"/>
      <c r="G4493" s="24">
        <v>1239092.25</v>
      </c>
      <c r="I4493" s="24">
        <f t="shared" si="218"/>
        <v>1239092.25</v>
      </c>
    </row>
    <row r="4494" spans="4:9" ht="12.75">
      <c r="D4494" s="5" t="s">
        <v>916</v>
      </c>
      <c r="E4494" s="55" t="s">
        <v>882</v>
      </c>
      <c r="F4494" s="55"/>
      <c r="G4494" s="24">
        <v>65775219.06</v>
      </c>
      <c r="I4494" s="24">
        <f t="shared" si="218"/>
        <v>65775219.06</v>
      </c>
    </row>
    <row r="4495" spans="4:9" ht="12.75">
      <c r="D4495" s="5" t="s">
        <v>923</v>
      </c>
      <c r="E4495" s="55" t="s">
        <v>883</v>
      </c>
      <c r="F4495" s="55"/>
      <c r="G4495" s="24">
        <v>28997646.15</v>
      </c>
      <c r="H4495" s="24">
        <v>28196698.22</v>
      </c>
      <c r="I4495" s="24">
        <f t="shared" si="218"/>
        <v>57194344.37</v>
      </c>
    </row>
    <row r="4496" spans="4:9" ht="12.75">
      <c r="D4496" s="5" t="s">
        <v>924</v>
      </c>
      <c r="E4496" s="55" t="s">
        <v>203</v>
      </c>
      <c r="F4496" s="55"/>
      <c r="G4496" s="24">
        <v>662062.38</v>
      </c>
      <c r="I4496" s="24">
        <f t="shared" si="218"/>
        <v>662062.38</v>
      </c>
    </row>
    <row r="4497" spans="4:9" ht="12.75">
      <c r="D4497" s="5" t="s">
        <v>925</v>
      </c>
      <c r="E4497" s="55" t="s">
        <v>884</v>
      </c>
      <c r="F4497" s="55"/>
      <c r="G4497" s="24">
        <v>4588789.69</v>
      </c>
      <c r="I4497" s="24">
        <f t="shared" si="218"/>
        <v>4588789.69</v>
      </c>
    </row>
    <row r="4498" spans="4:9" ht="12.75">
      <c r="D4498" s="5" t="s">
        <v>753</v>
      </c>
      <c r="E4498" s="55" t="s">
        <v>211</v>
      </c>
      <c r="F4498" s="55"/>
      <c r="G4498" s="24">
        <v>1043000</v>
      </c>
      <c r="I4498" s="24">
        <f t="shared" si="218"/>
        <v>1043000</v>
      </c>
    </row>
    <row r="4499" spans="4:9" ht="12.75">
      <c r="D4499" s="5" t="s">
        <v>754</v>
      </c>
      <c r="E4499" s="55" t="s">
        <v>212</v>
      </c>
      <c r="F4499" s="55"/>
      <c r="G4499" s="24">
        <v>35806</v>
      </c>
      <c r="I4499" s="24">
        <f t="shared" si="218"/>
        <v>35806</v>
      </c>
    </row>
    <row r="4500" spans="4:9" ht="12.75">
      <c r="D4500" s="5" t="s">
        <v>755</v>
      </c>
      <c r="E4500" s="55" t="s">
        <v>213</v>
      </c>
      <c r="F4500" s="55"/>
      <c r="G4500" s="24">
        <v>80655.75</v>
      </c>
      <c r="I4500" s="24">
        <f t="shared" si="218"/>
        <v>80655.75</v>
      </c>
    </row>
    <row r="4501" spans="4:9" ht="12.75">
      <c r="D4501" s="5" t="s">
        <v>926</v>
      </c>
      <c r="E4501" s="55" t="s">
        <v>885</v>
      </c>
      <c r="F4501" s="55"/>
      <c r="H4501" s="24">
        <v>28538598.3</v>
      </c>
      <c r="I4501" s="24">
        <f t="shared" si="218"/>
        <v>28538598.3</v>
      </c>
    </row>
    <row r="4502" spans="4:9" ht="13.5" thickBot="1">
      <c r="D4502" s="5" t="s">
        <v>927</v>
      </c>
      <c r="E4502" s="55" t="s">
        <v>886</v>
      </c>
      <c r="F4502" s="55"/>
      <c r="G4502" s="24">
        <v>11771.23</v>
      </c>
      <c r="H4502" s="24">
        <v>1500000</v>
      </c>
      <c r="I4502" s="24">
        <f t="shared" si="218"/>
        <v>1511771.23</v>
      </c>
    </row>
    <row r="4503" spans="5:9" ht="12.75">
      <c r="E4503" s="58" t="s">
        <v>25</v>
      </c>
      <c r="F4503" s="58"/>
      <c r="G4503" s="25"/>
      <c r="H4503" s="25"/>
      <c r="I4503" s="25"/>
    </row>
    <row r="4504" spans="4:9" ht="12.75">
      <c r="D4504" s="5" t="s">
        <v>772</v>
      </c>
      <c r="E4504" s="55" t="s">
        <v>773</v>
      </c>
      <c r="F4504" s="55"/>
      <c r="G4504" s="24">
        <f>SUM(G4488:G4503)</f>
        <v>242082896.75</v>
      </c>
      <c r="I4504" s="24">
        <f>G4504+H4504</f>
        <v>242082896.75</v>
      </c>
    </row>
    <row r="4505" spans="4:9" ht="12.75">
      <c r="D4505" s="5" t="s">
        <v>784</v>
      </c>
      <c r="E4505" s="55" t="s">
        <v>785</v>
      </c>
      <c r="F4505" s="55"/>
      <c r="H4505" s="24">
        <v>28710160</v>
      </c>
      <c r="I4505" s="24">
        <f>G4505+H4505</f>
        <v>28710160</v>
      </c>
    </row>
    <row r="4506" spans="4:9" ht="13.5" thickBot="1">
      <c r="D4506" s="5" t="s">
        <v>790</v>
      </c>
      <c r="E4506" s="55" t="s">
        <v>791</v>
      </c>
      <c r="F4506" s="55"/>
      <c r="H4506" s="24">
        <v>29525136.52</v>
      </c>
      <c r="I4506" s="24">
        <f>G4506+H4506</f>
        <v>29525136.52</v>
      </c>
    </row>
    <row r="4507" spans="5:9" ht="13.5" thickBot="1">
      <c r="E4507" s="56" t="s">
        <v>26</v>
      </c>
      <c r="F4507" s="56"/>
      <c r="G4507" s="26">
        <f>SUM(G4504:G4506)</f>
        <v>242082896.75</v>
      </c>
      <c r="H4507" s="26">
        <f>SUM(H4504:H4506)</f>
        <v>58235296.519999996</v>
      </c>
      <c r="I4507" s="26">
        <f>G4507+H4507</f>
        <v>300318193.27</v>
      </c>
    </row>
    <row r="4508" spans="5:9" ht="12.75">
      <c r="E4508" s="58" t="s">
        <v>344</v>
      </c>
      <c r="F4508" s="58"/>
      <c r="G4508" s="25"/>
      <c r="H4508" s="25"/>
      <c r="I4508" s="25"/>
    </row>
    <row r="4509" spans="4:9" ht="12.75">
      <c r="D4509" s="5" t="s">
        <v>772</v>
      </c>
      <c r="E4509" s="55" t="s">
        <v>773</v>
      </c>
      <c r="F4509" s="55"/>
      <c r="G4509" s="24">
        <f>+G4504</f>
        <v>242082896.75</v>
      </c>
      <c r="H4509" s="24">
        <v>0</v>
      </c>
      <c r="I4509" s="24">
        <f>G4509+H4509</f>
        <v>242082896.75</v>
      </c>
    </row>
    <row r="4510" spans="4:9" ht="12.75">
      <c r="D4510" s="5" t="s">
        <v>784</v>
      </c>
      <c r="E4510" s="55" t="s">
        <v>785</v>
      </c>
      <c r="F4510" s="55"/>
      <c r="H4510" s="24">
        <f>+H4505</f>
        <v>28710160</v>
      </c>
      <c r="I4510" s="24">
        <f>G4510+H4510</f>
        <v>28710160</v>
      </c>
    </row>
    <row r="4511" spans="4:9" ht="13.5" thickBot="1">
      <c r="D4511" s="5" t="s">
        <v>790</v>
      </c>
      <c r="E4511" s="55" t="s">
        <v>791</v>
      </c>
      <c r="F4511" s="55"/>
      <c r="G4511" s="24">
        <v>0</v>
      </c>
      <c r="H4511" s="24">
        <f>+H4506</f>
        <v>29525136.52</v>
      </c>
      <c r="I4511" s="24">
        <f>G4511+H4511</f>
        <v>29525136.52</v>
      </c>
    </row>
    <row r="4512" spans="5:9" ht="13.5" thickBot="1">
      <c r="E4512" s="56" t="s">
        <v>345</v>
      </c>
      <c r="F4512" s="56"/>
      <c r="G4512" s="26">
        <f>SUM(G4509:G4511)</f>
        <v>242082896.75</v>
      </c>
      <c r="H4512" s="26">
        <f>SUM(H4509:H4511)</f>
        <v>58235296.519999996</v>
      </c>
      <c r="I4512" s="26">
        <f>G4512+H4512</f>
        <v>300318193.27</v>
      </c>
    </row>
    <row r="4513" ht="7.5" customHeight="1"/>
    <row r="4514" spans="1:6" ht="12.75">
      <c r="A4514" s="8" t="s">
        <v>766</v>
      </c>
      <c r="B4514" s="9" t="s">
        <v>659</v>
      </c>
      <c r="C4514" s="8"/>
      <c r="D4514" s="9"/>
      <c r="E4514" s="57" t="s">
        <v>239</v>
      </c>
      <c r="F4514" s="57"/>
    </row>
    <row r="4515" spans="1:6" ht="12.75">
      <c r="A4515" s="8"/>
      <c r="B4515" s="9"/>
      <c r="C4515" s="8" t="s">
        <v>851</v>
      </c>
      <c r="D4515" s="9"/>
      <c r="E4515" s="57" t="s">
        <v>852</v>
      </c>
      <c r="F4515" s="57"/>
    </row>
    <row r="4516" spans="4:9" ht="12.75">
      <c r="D4516" s="5" t="s">
        <v>911</v>
      </c>
      <c r="E4516" s="55" t="s">
        <v>199</v>
      </c>
      <c r="F4516" s="55"/>
      <c r="G4516" s="24">
        <v>8381364472.85</v>
      </c>
      <c r="I4516" s="24">
        <f aca="true" t="shared" si="219" ref="I4516:I4529">G4516+H4516</f>
        <v>8381364472.85</v>
      </c>
    </row>
    <row r="4517" spans="4:9" ht="12.75">
      <c r="D4517" s="5" t="s">
        <v>912</v>
      </c>
      <c r="E4517" s="55" t="s">
        <v>877</v>
      </c>
      <c r="F4517" s="55"/>
      <c r="G4517" s="24">
        <v>1504531435.52</v>
      </c>
      <c r="I4517" s="24">
        <f t="shared" si="219"/>
        <v>1504531435.52</v>
      </c>
    </row>
    <row r="4518" spans="4:9" ht="12.75">
      <c r="D4518" s="5" t="s">
        <v>921</v>
      </c>
      <c r="E4518" s="55" t="s">
        <v>880</v>
      </c>
      <c r="F4518" s="55"/>
      <c r="G4518" s="24">
        <v>39146169.96</v>
      </c>
      <c r="I4518" s="24">
        <f t="shared" si="219"/>
        <v>39146169.96</v>
      </c>
    </row>
    <row r="4519" spans="4:9" ht="12.75">
      <c r="D4519" s="5" t="s">
        <v>922</v>
      </c>
      <c r="E4519" s="55" t="s">
        <v>201</v>
      </c>
      <c r="F4519" s="55"/>
      <c r="G4519" s="24">
        <v>275190017.39</v>
      </c>
      <c r="I4519" s="24">
        <f t="shared" si="219"/>
        <v>275190017.39</v>
      </c>
    </row>
    <row r="4520" spans="4:9" ht="12.75">
      <c r="D4520" s="5" t="s">
        <v>913</v>
      </c>
      <c r="E4520" s="55" t="s">
        <v>881</v>
      </c>
      <c r="F4520" s="55"/>
      <c r="G4520" s="24">
        <v>230969.4</v>
      </c>
      <c r="I4520" s="24">
        <f t="shared" si="219"/>
        <v>230969.4</v>
      </c>
    </row>
    <row r="4521" spans="4:9" ht="12.75">
      <c r="D4521" s="5" t="s">
        <v>915</v>
      </c>
      <c r="E4521" s="55" t="s">
        <v>879</v>
      </c>
      <c r="F4521" s="55"/>
      <c r="G4521" s="24">
        <v>10204605</v>
      </c>
      <c r="I4521" s="24">
        <f t="shared" si="219"/>
        <v>10204605</v>
      </c>
    </row>
    <row r="4522" spans="4:9" ht="12.75">
      <c r="D4522" s="5" t="s">
        <v>916</v>
      </c>
      <c r="E4522" s="55" t="s">
        <v>882</v>
      </c>
      <c r="F4522" s="55"/>
      <c r="G4522" s="24">
        <v>3508426.62</v>
      </c>
      <c r="I4522" s="24">
        <f t="shared" si="219"/>
        <v>3508426.62</v>
      </c>
    </row>
    <row r="4523" spans="4:9" ht="12.75">
      <c r="D4523" s="5" t="s">
        <v>923</v>
      </c>
      <c r="E4523" s="55" t="s">
        <v>883</v>
      </c>
      <c r="F4523" s="55"/>
      <c r="G4523" s="24">
        <v>28004489.06</v>
      </c>
      <c r="I4523" s="24">
        <f t="shared" si="219"/>
        <v>28004489.06</v>
      </c>
    </row>
    <row r="4524" spans="4:9" ht="12.75">
      <c r="D4524" s="5" t="s">
        <v>925</v>
      </c>
      <c r="E4524" s="55" t="s">
        <v>884</v>
      </c>
      <c r="F4524" s="55"/>
      <c r="G4524" s="24">
        <v>179463.45</v>
      </c>
      <c r="I4524" s="24">
        <f t="shared" si="219"/>
        <v>179463.45</v>
      </c>
    </row>
    <row r="4525" spans="4:9" ht="12.75">
      <c r="D4525" s="5" t="s">
        <v>930</v>
      </c>
      <c r="E4525" s="55" t="s">
        <v>209</v>
      </c>
      <c r="F4525" s="55"/>
      <c r="G4525" s="24">
        <v>3784936691.38</v>
      </c>
      <c r="I4525" s="24">
        <f t="shared" si="219"/>
        <v>3784936691.38</v>
      </c>
    </row>
    <row r="4526" spans="4:9" ht="12.75">
      <c r="D4526" s="5" t="s">
        <v>750</v>
      </c>
      <c r="E4526" s="55" t="s">
        <v>887</v>
      </c>
      <c r="F4526" s="55"/>
      <c r="G4526" s="24">
        <v>534822722.5</v>
      </c>
      <c r="I4526" s="24">
        <f t="shared" si="219"/>
        <v>534822722.5</v>
      </c>
    </row>
    <row r="4527" spans="4:9" ht="12.75">
      <c r="D4527" s="5" t="s">
        <v>755</v>
      </c>
      <c r="E4527" s="55" t="s">
        <v>213</v>
      </c>
      <c r="F4527" s="55"/>
      <c r="G4527" s="24">
        <v>1016127.44</v>
      </c>
      <c r="I4527" s="24">
        <f t="shared" si="219"/>
        <v>1016127.44</v>
      </c>
    </row>
    <row r="4528" spans="4:9" ht="12.75">
      <c r="D4528" s="5" t="s">
        <v>926</v>
      </c>
      <c r="E4528" s="55" t="s">
        <v>885</v>
      </c>
      <c r="F4528" s="55"/>
      <c r="G4528" s="24">
        <v>54475559</v>
      </c>
      <c r="I4528" s="24">
        <f t="shared" si="219"/>
        <v>54475559</v>
      </c>
    </row>
    <row r="4529" spans="4:9" ht="13.5" thickBot="1">
      <c r="D4529" s="5" t="s">
        <v>927</v>
      </c>
      <c r="E4529" s="55" t="s">
        <v>886</v>
      </c>
      <c r="F4529" s="55"/>
      <c r="G4529" s="24">
        <v>405520</v>
      </c>
      <c r="I4529" s="24">
        <f t="shared" si="219"/>
        <v>405520</v>
      </c>
    </row>
    <row r="4530" spans="5:9" ht="12.75">
      <c r="E4530" s="58" t="s">
        <v>57</v>
      </c>
      <c r="F4530" s="58"/>
      <c r="G4530" s="25"/>
      <c r="H4530" s="25"/>
      <c r="I4530" s="25"/>
    </row>
    <row r="4531" spans="4:9" ht="13.5" thickBot="1">
      <c r="D4531" s="5" t="s">
        <v>772</v>
      </c>
      <c r="E4531" s="55" t="s">
        <v>773</v>
      </c>
      <c r="F4531" s="55"/>
      <c r="G4531" s="24">
        <f>SUM(G4516:G4530)</f>
        <v>14618016669.570002</v>
      </c>
      <c r="I4531" s="24">
        <f>G4531+H4531</f>
        <v>14618016669.570002</v>
      </c>
    </row>
    <row r="4532" spans="5:9" ht="13.5" thickBot="1">
      <c r="E4532" s="56" t="s">
        <v>58</v>
      </c>
      <c r="F4532" s="56"/>
      <c r="G4532" s="26">
        <f>SUM(G4531:G4531)</f>
        <v>14618016669.570002</v>
      </c>
      <c r="H4532" s="26">
        <f>SUM(H4531:H4531)</f>
        <v>0</v>
      </c>
      <c r="I4532" s="26">
        <f>G4532+H4532</f>
        <v>14618016669.570002</v>
      </c>
    </row>
    <row r="4533" spans="5:9" ht="12.75">
      <c r="E4533" s="58" t="s">
        <v>660</v>
      </c>
      <c r="F4533" s="58"/>
      <c r="G4533" s="25"/>
      <c r="H4533" s="25"/>
      <c r="I4533" s="25"/>
    </row>
    <row r="4534" spans="4:9" ht="13.5" thickBot="1">
      <c r="D4534" s="5" t="s">
        <v>772</v>
      </c>
      <c r="E4534" s="55" t="s">
        <v>773</v>
      </c>
      <c r="F4534" s="55"/>
      <c r="G4534" s="24">
        <f>+G4531</f>
        <v>14618016669.570002</v>
      </c>
      <c r="H4534" s="24">
        <v>0</v>
      </c>
      <c r="I4534" s="24">
        <f>G4534+H4534</f>
        <v>14618016669.570002</v>
      </c>
    </row>
    <row r="4535" spans="5:9" ht="13.5" thickBot="1">
      <c r="E4535" s="56" t="s">
        <v>661</v>
      </c>
      <c r="F4535" s="56"/>
      <c r="G4535" s="26">
        <f>SUM(G4534:G4534)</f>
        <v>14618016669.570002</v>
      </c>
      <c r="H4535" s="26">
        <f>SUM(H4534:H4534)</f>
        <v>0</v>
      </c>
      <c r="I4535" s="26">
        <f>G4535+H4535</f>
        <v>14618016669.570002</v>
      </c>
    </row>
    <row r="4536" ht="8.25" customHeight="1"/>
    <row r="4537" spans="1:6" ht="12.75">
      <c r="A4537" s="8" t="s">
        <v>766</v>
      </c>
      <c r="B4537" s="9" t="s">
        <v>662</v>
      </c>
      <c r="C4537" s="8"/>
      <c r="D4537" s="9"/>
      <c r="E4537" s="57" t="s">
        <v>240</v>
      </c>
      <c r="F4537" s="57"/>
    </row>
    <row r="4538" spans="1:6" ht="12.75">
      <c r="A4538" s="8"/>
      <c r="B4538" s="9"/>
      <c r="C4538" s="8" t="s">
        <v>855</v>
      </c>
      <c r="D4538" s="9"/>
      <c r="E4538" s="57" t="s">
        <v>856</v>
      </c>
      <c r="F4538" s="57"/>
    </row>
    <row r="4539" spans="4:9" ht="12.75">
      <c r="D4539" s="5" t="s">
        <v>911</v>
      </c>
      <c r="E4539" s="55" t="s">
        <v>199</v>
      </c>
      <c r="F4539" s="55"/>
      <c r="G4539" s="24">
        <v>4176862632.05</v>
      </c>
      <c r="I4539" s="24">
        <f aca="true" t="shared" si="220" ref="I4539:I4551">G4539+H4539</f>
        <v>4176862632.05</v>
      </c>
    </row>
    <row r="4540" spans="4:9" ht="12.75">
      <c r="D4540" s="5" t="s">
        <v>912</v>
      </c>
      <c r="E4540" s="55" t="s">
        <v>877</v>
      </c>
      <c r="F4540" s="55"/>
      <c r="G4540" s="24">
        <v>742716805.3</v>
      </c>
      <c r="I4540" s="24">
        <f t="shared" si="220"/>
        <v>742716805.3</v>
      </c>
    </row>
    <row r="4541" spans="4:9" ht="12.75">
      <c r="D4541" s="5" t="s">
        <v>918</v>
      </c>
      <c r="E4541" s="55" t="s">
        <v>878</v>
      </c>
      <c r="F4541" s="55"/>
      <c r="G4541" s="24">
        <v>125000</v>
      </c>
      <c r="I4541" s="24">
        <f t="shared" si="220"/>
        <v>125000</v>
      </c>
    </row>
    <row r="4542" spans="4:9" ht="12.75">
      <c r="D4542" s="5" t="s">
        <v>921</v>
      </c>
      <c r="E4542" s="55" t="s">
        <v>880</v>
      </c>
      <c r="F4542" s="55"/>
      <c r="G4542" s="24">
        <v>11341621.11</v>
      </c>
      <c r="I4542" s="24">
        <f t="shared" si="220"/>
        <v>11341621.11</v>
      </c>
    </row>
    <row r="4543" spans="4:9" ht="12.75">
      <c r="D4543" s="5" t="s">
        <v>922</v>
      </c>
      <c r="E4543" s="55" t="s">
        <v>201</v>
      </c>
      <c r="F4543" s="55"/>
      <c r="G4543" s="24">
        <v>129724408</v>
      </c>
      <c r="I4543" s="24">
        <f t="shared" si="220"/>
        <v>129724408</v>
      </c>
    </row>
    <row r="4544" spans="4:9" ht="12.75">
      <c r="D4544" s="5" t="s">
        <v>913</v>
      </c>
      <c r="E4544" s="55" t="s">
        <v>881</v>
      </c>
      <c r="F4544" s="55"/>
      <c r="G4544" s="24">
        <v>404413.7</v>
      </c>
      <c r="I4544" s="24">
        <f t="shared" si="220"/>
        <v>404413.7</v>
      </c>
    </row>
    <row r="4545" spans="4:9" ht="12.75">
      <c r="D4545" s="5" t="s">
        <v>915</v>
      </c>
      <c r="E4545" s="55" t="s">
        <v>879</v>
      </c>
      <c r="F4545" s="55"/>
      <c r="G4545" s="24">
        <v>14894257</v>
      </c>
      <c r="I4545" s="24">
        <f t="shared" si="220"/>
        <v>14894257</v>
      </c>
    </row>
    <row r="4546" spans="4:9" ht="12.75">
      <c r="D4546" s="5" t="s">
        <v>916</v>
      </c>
      <c r="E4546" s="55" t="s">
        <v>882</v>
      </c>
      <c r="F4546" s="55"/>
      <c r="G4546" s="24">
        <v>1615763.93</v>
      </c>
      <c r="I4546" s="24">
        <f t="shared" si="220"/>
        <v>1615763.93</v>
      </c>
    </row>
    <row r="4547" spans="4:9" ht="12.75">
      <c r="D4547" s="5" t="s">
        <v>923</v>
      </c>
      <c r="E4547" s="55" t="s">
        <v>883</v>
      </c>
      <c r="F4547" s="55"/>
      <c r="G4547" s="24">
        <v>2848555.83</v>
      </c>
      <c r="I4547" s="24">
        <f t="shared" si="220"/>
        <v>2848555.83</v>
      </c>
    </row>
    <row r="4548" spans="4:9" ht="12.75">
      <c r="D4548" s="5" t="s">
        <v>925</v>
      </c>
      <c r="E4548" s="55" t="s">
        <v>884</v>
      </c>
      <c r="F4548" s="55"/>
      <c r="G4548" s="24">
        <v>2789149.06</v>
      </c>
      <c r="I4548" s="24">
        <f t="shared" si="220"/>
        <v>2789149.06</v>
      </c>
    </row>
    <row r="4549" spans="4:9" ht="12.75">
      <c r="D4549" s="5" t="s">
        <v>930</v>
      </c>
      <c r="E4549" s="55" t="s">
        <v>209</v>
      </c>
      <c r="F4549" s="55"/>
      <c r="G4549" s="24">
        <v>1632564321.21</v>
      </c>
      <c r="I4549" s="24">
        <f t="shared" si="220"/>
        <v>1632564321.21</v>
      </c>
    </row>
    <row r="4550" spans="4:9" ht="12.75">
      <c r="D4550" s="5" t="s">
        <v>755</v>
      </c>
      <c r="E4550" s="55" t="s">
        <v>213</v>
      </c>
      <c r="F4550" s="55"/>
      <c r="G4550" s="24">
        <v>596330.48</v>
      </c>
      <c r="I4550" s="24">
        <f t="shared" si="220"/>
        <v>596330.48</v>
      </c>
    </row>
    <row r="4551" spans="4:9" ht="13.5" thickBot="1">
      <c r="D4551" s="5" t="s">
        <v>926</v>
      </c>
      <c r="E4551" s="55" t="s">
        <v>885</v>
      </c>
      <c r="F4551" s="55"/>
      <c r="G4551" s="24">
        <v>45979706</v>
      </c>
      <c r="I4551" s="24">
        <f t="shared" si="220"/>
        <v>45979706</v>
      </c>
    </row>
    <row r="4552" spans="5:9" ht="12.75">
      <c r="E4552" s="58" t="s">
        <v>59</v>
      </c>
      <c r="F4552" s="58"/>
      <c r="G4552" s="25"/>
      <c r="H4552" s="25"/>
      <c r="I4552" s="25"/>
    </row>
    <row r="4553" spans="4:9" ht="13.5" thickBot="1">
      <c r="D4553" s="5" t="s">
        <v>772</v>
      </c>
      <c r="E4553" s="55" t="s">
        <v>773</v>
      </c>
      <c r="F4553" s="55"/>
      <c r="G4553" s="24">
        <f>SUM(G4539:G4552)</f>
        <v>6762462963.67</v>
      </c>
      <c r="I4553" s="24">
        <f>G4553+H4553</f>
        <v>6762462963.67</v>
      </c>
    </row>
    <row r="4554" spans="5:9" ht="13.5" thickBot="1">
      <c r="E4554" s="56" t="s">
        <v>60</v>
      </c>
      <c r="F4554" s="56"/>
      <c r="G4554" s="26">
        <f>SUM(G4553:G4553)</f>
        <v>6762462963.67</v>
      </c>
      <c r="H4554" s="26">
        <f>SUM(H4553:H4553)</f>
        <v>0</v>
      </c>
      <c r="I4554" s="26">
        <f>G4554+H4554</f>
        <v>6762462963.67</v>
      </c>
    </row>
    <row r="4555" spans="5:9" ht="12.75">
      <c r="E4555" s="58" t="s">
        <v>663</v>
      </c>
      <c r="F4555" s="58"/>
      <c r="G4555" s="25"/>
      <c r="H4555" s="25"/>
      <c r="I4555" s="25"/>
    </row>
    <row r="4556" spans="4:9" ht="13.5" thickBot="1">
      <c r="D4556" s="5" t="s">
        <v>772</v>
      </c>
      <c r="E4556" s="55" t="s">
        <v>773</v>
      </c>
      <c r="F4556" s="55"/>
      <c r="G4556" s="24">
        <f>+G4553</f>
        <v>6762462963.67</v>
      </c>
      <c r="H4556" s="24">
        <v>0</v>
      </c>
      <c r="I4556" s="24">
        <f>G4556+H4556</f>
        <v>6762462963.67</v>
      </c>
    </row>
    <row r="4557" spans="5:9" ht="13.5" thickBot="1">
      <c r="E4557" s="56" t="s">
        <v>664</v>
      </c>
      <c r="F4557" s="56"/>
      <c r="G4557" s="26">
        <f>SUM(G4556:G4556)</f>
        <v>6762462963.67</v>
      </c>
      <c r="H4557" s="26">
        <f>SUM(H4556:H4556)</f>
        <v>0</v>
      </c>
      <c r="I4557" s="26">
        <f>G4557+H4557</f>
        <v>6762462963.67</v>
      </c>
    </row>
    <row r="4558" ht="6.75" customHeight="1"/>
    <row r="4559" spans="1:6" ht="12.75">
      <c r="A4559" s="8" t="s">
        <v>766</v>
      </c>
      <c r="B4559" s="9" t="s">
        <v>665</v>
      </c>
      <c r="C4559" s="8"/>
      <c r="D4559" s="9"/>
      <c r="E4559" s="57" t="s">
        <v>241</v>
      </c>
      <c r="F4559" s="57"/>
    </row>
    <row r="4560" spans="1:6" ht="12.75">
      <c r="A4560" s="8"/>
      <c r="B4560" s="9"/>
      <c r="C4560" s="8" t="s">
        <v>857</v>
      </c>
      <c r="D4560" s="9"/>
      <c r="E4560" s="57" t="s">
        <v>858</v>
      </c>
      <c r="F4560" s="57"/>
    </row>
    <row r="4561" spans="4:9" ht="12.75">
      <c r="D4561" s="5" t="s">
        <v>911</v>
      </c>
      <c r="E4561" s="55" t="s">
        <v>199</v>
      </c>
      <c r="F4561" s="55"/>
      <c r="G4561" s="24">
        <v>143224785.25</v>
      </c>
      <c r="I4561" s="24">
        <f aca="true" t="shared" si="221" ref="I4561:I4571">G4561+H4561</f>
        <v>143224785.25</v>
      </c>
    </row>
    <row r="4562" spans="4:9" ht="12.75">
      <c r="D4562" s="5" t="s">
        <v>912</v>
      </c>
      <c r="E4562" s="55" t="s">
        <v>877</v>
      </c>
      <c r="F4562" s="55"/>
      <c r="G4562" s="24">
        <v>25637236.86</v>
      </c>
      <c r="I4562" s="24">
        <f t="shared" si="221"/>
        <v>25637236.86</v>
      </c>
    </row>
    <row r="4563" spans="4:9" ht="12.75">
      <c r="D4563" s="5" t="s">
        <v>921</v>
      </c>
      <c r="E4563" s="55" t="s">
        <v>880</v>
      </c>
      <c r="F4563" s="55"/>
      <c r="G4563" s="24">
        <v>331901.72</v>
      </c>
      <c r="I4563" s="24">
        <f t="shared" si="221"/>
        <v>331901.72</v>
      </c>
    </row>
    <row r="4564" spans="4:9" ht="12.75">
      <c r="D4564" s="5" t="s">
        <v>922</v>
      </c>
      <c r="E4564" s="55" t="s">
        <v>201</v>
      </c>
      <c r="F4564" s="55"/>
      <c r="G4564" s="24">
        <v>6609246.5</v>
      </c>
      <c r="I4564" s="24">
        <f t="shared" si="221"/>
        <v>6609246.5</v>
      </c>
    </row>
    <row r="4565" spans="4:9" ht="12.75">
      <c r="D4565" s="5" t="s">
        <v>923</v>
      </c>
      <c r="E4565" s="55" t="s">
        <v>883</v>
      </c>
      <c r="F4565" s="55"/>
      <c r="G4565" s="24">
        <v>304438.92</v>
      </c>
      <c r="I4565" s="24">
        <f t="shared" si="221"/>
        <v>304438.92</v>
      </c>
    </row>
    <row r="4566" spans="4:9" ht="12.75">
      <c r="D4566" s="5" t="s">
        <v>924</v>
      </c>
      <c r="E4566" s="55" t="s">
        <v>203</v>
      </c>
      <c r="F4566" s="55"/>
      <c r="G4566" s="24">
        <v>14299021</v>
      </c>
      <c r="I4566" s="24">
        <f t="shared" si="221"/>
        <v>14299021</v>
      </c>
    </row>
    <row r="4567" spans="4:9" ht="12.75">
      <c r="D4567" s="5" t="s">
        <v>930</v>
      </c>
      <c r="E4567" s="55" t="s">
        <v>209</v>
      </c>
      <c r="F4567" s="55"/>
      <c r="G4567" s="24">
        <v>49422700.57</v>
      </c>
      <c r="I4567" s="24">
        <f t="shared" si="221"/>
        <v>49422700.57</v>
      </c>
    </row>
    <row r="4568" spans="4:9" ht="12.75">
      <c r="D4568" s="5" t="s">
        <v>750</v>
      </c>
      <c r="E4568" s="55" t="s">
        <v>887</v>
      </c>
      <c r="F4568" s="55"/>
      <c r="G4568" s="24">
        <v>422592604.76</v>
      </c>
      <c r="I4568" s="24">
        <f t="shared" si="221"/>
        <v>422592604.76</v>
      </c>
    </row>
    <row r="4569" spans="4:9" ht="12.75">
      <c r="D4569" s="5" t="s">
        <v>926</v>
      </c>
      <c r="E4569" s="55" t="s">
        <v>885</v>
      </c>
      <c r="F4569" s="55"/>
      <c r="G4569" s="24">
        <v>14620000</v>
      </c>
      <c r="I4569" s="24">
        <f t="shared" si="221"/>
        <v>14620000</v>
      </c>
    </row>
    <row r="4570" spans="4:9" ht="12.75">
      <c r="D4570" s="5" t="s">
        <v>927</v>
      </c>
      <c r="E4570" s="55" t="s">
        <v>886</v>
      </c>
      <c r="F4570" s="55"/>
      <c r="G4570" s="24">
        <v>2684517</v>
      </c>
      <c r="I4570" s="24">
        <f t="shared" si="221"/>
        <v>2684517</v>
      </c>
    </row>
    <row r="4571" spans="4:9" ht="13.5" thickBot="1">
      <c r="D4571" s="5" t="s">
        <v>940</v>
      </c>
      <c r="E4571" s="55" t="s">
        <v>897</v>
      </c>
      <c r="F4571" s="55"/>
      <c r="G4571" s="24">
        <f>2454300-300</f>
        <v>2454000</v>
      </c>
      <c r="I4571" s="24">
        <f t="shared" si="221"/>
        <v>2454000</v>
      </c>
    </row>
    <row r="4572" spans="5:9" ht="12.75">
      <c r="E4572" s="58" t="s">
        <v>61</v>
      </c>
      <c r="F4572" s="58"/>
      <c r="G4572" s="25"/>
      <c r="H4572" s="25"/>
      <c r="I4572" s="25"/>
    </row>
    <row r="4573" spans="4:9" ht="13.5" thickBot="1">
      <c r="D4573" s="5" t="s">
        <v>772</v>
      </c>
      <c r="E4573" s="55" t="s">
        <v>773</v>
      </c>
      <c r="F4573" s="55"/>
      <c r="G4573" s="24">
        <f>SUM(G4561:G4572)</f>
        <v>682180452.5799999</v>
      </c>
      <c r="I4573" s="24">
        <f>G4573+H4573</f>
        <v>682180452.5799999</v>
      </c>
    </row>
    <row r="4574" spans="5:9" ht="13.5" thickBot="1">
      <c r="E4574" s="56" t="s">
        <v>62</v>
      </c>
      <c r="F4574" s="56"/>
      <c r="G4574" s="26">
        <f>SUM(G4573:G4573)</f>
        <v>682180452.5799999</v>
      </c>
      <c r="H4574" s="26">
        <f>SUM(H4573:H4573)</f>
        <v>0</v>
      </c>
      <c r="I4574" s="26">
        <f>G4574+H4574</f>
        <v>682180452.5799999</v>
      </c>
    </row>
    <row r="4575" spans="5:9" ht="12.75">
      <c r="E4575" s="58" t="s">
        <v>666</v>
      </c>
      <c r="F4575" s="58"/>
      <c r="G4575" s="25"/>
      <c r="H4575" s="25"/>
      <c r="I4575" s="25"/>
    </row>
    <row r="4576" spans="4:9" ht="13.5" thickBot="1">
      <c r="D4576" s="5" t="s">
        <v>772</v>
      </c>
      <c r="E4576" s="55" t="s">
        <v>773</v>
      </c>
      <c r="F4576" s="55"/>
      <c r="G4576" s="24">
        <f>+G4573</f>
        <v>682180452.5799999</v>
      </c>
      <c r="H4576" s="24">
        <v>0</v>
      </c>
      <c r="I4576" s="24">
        <f>G4576+H4576</f>
        <v>682180452.5799999</v>
      </c>
    </row>
    <row r="4577" spans="5:9" ht="13.5" thickBot="1">
      <c r="E4577" s="56" t="s">
        <v>667</v>
      </c>
      <c r="F4577" s="56"/>
      <c r="G4577" s="26">
        <f>SUM(G4576:G4576)</f>
        <v>682180452.5799999</v>
      </c>
      <c r="H4577" s="26">
        <f>SUM(H4576:H4576)</f>
        <v>0</v>
      </c>
      <c r="I4577" s="26">
        <f>G4577+H4577</f>
        <v>682180452.5799999</v>
      </c>
    </row>
    <row r="4578" ht="8.25" customHeight="1"/>
    <row r="4579" spans="1:6" ht="12.75">
      <c r="A4579" s="8" t="s">
        <v>766</v>
      </c>
      <c r="B4579" s="9" t="s">
        <v>668</v>
      </c>
      <c r="C4579" s="8"/>
      <c r="D4579" s="9"/>
      <c r="E4579" s="57" t="s">
        <v>242</v>
      </c>
      <c r="F4579" s="57"/>
    </row>
    <row r="4580" spans="1:6" ht="12.75">
      <c r="A4580" s="8"/>
      <c r="B4580" s="9"/>
      <c r="C4580" s="8" t="s">
        <v>859</v>
      </c>
      <c r="D4580" s="9"/>
      <c r="E4580" s="57" t="s">
        <v>860</v>
      </c>
      <c r="F4580" s="57"/>
    </row>
    <row r="4581" spans="4:9" ht="12.75">
      <c r="D4581" s="5" t="s">
        <v>911</v>
      </c>
      <c r="E4581" s="55" t="s">
        <v>199</v>
      </c>
      <c r="F4581" s="55"/>
      <c r="G4581" s="24">
        <v>3114530600.52</v>
      </c>
      <c r="I4581" s="24">
        <f aca="true" t="shared" si="222" ref="I4581:I4592">G4581+H4581</f>
        <v>3114530600.52</v>
      </c>
    </row>
    <row r="4582" spans="4:9" ht="12.75">
      <c r="D4582" s="5" t="s">
        <v>912</v>
      </c>
      <c r="E4582" s="55" t="s">
        <v>877</v>
      </c>
      <c r="F4582" s="55"/>
      <c r="G4582" s="24">
        <v>557339081.87</v>
      </c>
      <c r="I4582" s="24">
        <f t="shared" si="222"/>
        <v>557339081.87</v>
      </c>
    </row>
    <row r="4583" spans="4:9" ht="12.75">
      <c r="D4583" s="5" t="s">
        <v>918</v>
      </c>
      <c r="E4583" s="55" t="s">
        <v>878</v>
      </c>
      <c r="F4583" s="55"/>
      <c r="G4583" s="24">
        <v>3333332</v>
      </c>
      <c r="I4583" s="24">
        <f t="shared" si="222"/>
        <v>3333332</v>
      </c>
    </row>
    <row r="4584" spans="4:9" ht="12.75">
      <c r="D4584" s="5" t="s">
        <v>919</v>
      </c>
      <c r="E4584" s="55" t="s">
        <v>200</v>
      </c>
      <c r="F4584" s="55"/>
      <c r="G4584" s="24">
        <v>21473333</v>
      </c>
      <c r="I4584" s="24">
        <f t="shared" si="222"/>
        <v>21473333</v>
      </c>
    </row>
    <row r="4585" spans="4:9" ht="12.75">
      <c r="D4585" s="5" t="s">
        <v>913</v>
      </c>
      <c r="E4585" s="55" t="s">
        <v>881</v>
      </c>
      <c r="F4585" s="55"/>
      <c r="G4585" s="24">
        <v>110483977</v>
      </c>
      <c r="I4585" s="24">
        <f t="shared" si="222"/>
        <v>110483977</v>
      </c>
    </row>
    <row r="4586" spans="4:9" ht="12.75">
      <c r="D4586" s="5" t="s">
        <v>915</v>
      </c>
      <c r="E4586" s="55" t="s">
        <v>879</v>
      </c>
      <c r="F4586" s="55"/>
      <c r="G4586" s="24">
        <v>698592</v>
      </c>
      <c r="I4586" s="24">
        <f t="shared" si="222"/>
        <v>698592</v>
      </c>
    </row>
    <row r="4587" spans="4:9" ht="12.75">
      <c r="D4587" s="5" t="s">
        <v>916</v>
      </c>
      <c r="E4587" s="55" t="s">
        <v>882</v>
      </c>
      <c r="F4587" s="55"/>
      <c r="G4587" s="24">
        <v>9217032</v>
      </c>
      <c r="I4587" s="24">
        <f t="shared" si="222"/>
        <v>9217032</v>
      </c>
    </row>
    <row r="4588" spans="4:9" ht="12.75">
      <c r="D4588" s="5" t="s">
        <v>923</v>
      </c>
      <c r="E4588" s="55" t="s">
        <v>883</v>
      </c>
      <c r="F4588" s="55"/>
      <c r="G4588" s="24">
        <v>2133331</v>
      </c>
      <c r="I4588" s="24">
        <f t="shared" si="222"/>
        <v>2133331</v>
      </c>
    </row>
    <row r="4589" spans="4:9" ht="12.75">
      <c r="D4589" s="5" t="s">
        <v>924</v>
      </c>
      <c r="E4589" s="55" t="s">
        <v>203</v>
      </c>
      <c r="F4589" s="55"/>
      <c r="G4589" s="24">
        <v>11878607</v>
      </c>
      <c r="I4589" s="24">
        <f t="shared" si="222"/>
        <v>11878607</v>
      </c>
    </row>
    <row r="4590" spans="4:9" ht="12.75">
      <c r="D4590" s="5" t="s">
        <v>930</v>
      </c>
      <c r="E4590" s="55" t="s">
        <v>209</v>
      </c>
      <c r="F4590" s="55"/>
      <c r="G4590" s="24">
        <v>919007686.1</v>
      </c>
      <c r="I4590" s="24">
        <f t="shared" si="222"/>
        <v>919007686.1</v>
      </c>
    </row>
    <row r="4591" spans="4:9" ht="12.75">
      <c r="D4591" s="5" t="s">
        <v>926</v>
      </c>
      <c r="E4591" s="55" t="s">
        <v>885</v>
      </c>
      <c r="F4591" s="55"/>
      <c r="G4591" s="24">
        <v>30782988</v>
      </c>
      <c r="I4591" s="24">
        <f t="shared" si="222"/>
        <v>30782988</v>
      </c>
    </row>
    <row r="4592" spans="4:9" ht="13.5" thickBot="1">
      <c r="D4592" s="5" t="s">
        <v>927</v>
      </c>
      <c r="E4592" s="55" t="s">
        <v>886</v>
      </c>
      <c r="F4592" s="55"/>
      <c r="G4592" s="24">
        <v>2260000</v>
      </c>
      <c r="I4592" s="24">
        <f t="shared" si="222"/>
        <v>2260000</v>
      </c>
    </row>
    <row r="4593" spans="5:9" ht="12.75">
      <c r="E4593" s="58" t="s">
        <v>85</v>
      </c>
      <c r="F4593" s="58"/>
      <c r="G4593" s="25"/>
      <c r="H4593" s="25"/>
      <c r="I4593" s="25"/>
    </row>
    <row r="4594" spans="4:9" ht="13.5" thickBot="1">
      <c r="D4594" s="5" t="s">
        <v>772</v>
      </c>
      <c r="E4594" s="55" t="s">
        <v>773</v>
      </c>
      <c r="F4594" s="55"/>
      <c r="G4594" s="24">
        <f>SUM(G4581:G4593)</f>
        <v>4783138560.49</v>
      </c>
      <c r="I4594" s="24">
        <f>G4594+H4594</f>
        <v>4783138560.49</v>
      </c>
    </row>
    <row r="4595" spans="5:9" ht="13.5" thickBot="1">
      <c r="E4595" s="56" t="s">
        <v>86</v>
      </c>
      <c r="F4595" s="56"/>
      <c r="G4595" s="26">
        <f>SUM(G4594:G4594)</f>
        <v>4783138560.49</v>
      </c>
      <c r="H4595" s="26">
        <f>SUM(H4594:H4594)</f>
        <v>0</v>
      </c>
      <c r="I4595" s="26">
        <f>G4595+H4595</f>
        <v>4783138560.49</v>
      </c>
    </row>
    <row r="4596" spans="5:9" ht="12.75">
      <c r="E4596" s="58" t="s">
        <v>669</v>
      </c>
      <c r="F4596" s="58"/>
      <c r="G4596" s="25"/>
      <c r="H4596" s="25"/>
      <c r="I4596" s="25"/>
    </row>
    <row r="4597" spans="4:9" ht="13.5" thickBot="1">
      <c r="D4597" s="5" t="s">
        <v>772</v>
      </c>
      <c r="E4597" s="55" t="s">
        <v>773</v>
      </c>
      <c r="F4597" s="55"/>
      <c r="G4597" s="24">
        <f>+G4594</f>
        <v>4783138560.49</v>
      </c>
      <c r="H4597" s="24">
        <v>0</v>
      </c>
      <c r="I4597" s="24">
        <f>G4597+H4597</f>
        <v>4783138560.49</v>
      </c>
    </row>
    <row r="4598" spans="5:9" ht="13.5" thickBot="1">
      <c r="E4598" s="56" t="s">
        <v>670</v>
      </c>
      <c r="F4598" s="56"/>
      <c r="G4598" s="26">
        <f>SUM(G4597:G4597)</f>
        <v>4783138560.49</v>
      </c>
      <c r="H4598" s="26">
        <f>SUM(H4597:H4597)</f>
        <v>0</v>
      </c>
      <c r="I4598" s="26">
        <f>G4598+H4598</f>
        <v>4783138560.49</v>
      </c>
    </row>
    <row r="4599" ht="9" customHeight="1"/>
    <row r="4600" spans="1:6" ht="12.75">
      <c r="A4600" s="8" t="s">
        <v>766</v>
      </c>
      <c r="B4600" s="9" t="s">
        <v>671</v>
      </c>
      <c r="C4600" s="8"/>
      <c r="D4600" s="9"/>
      <c r="E4600" s="57" t="s">
        <v>243</v>
      </c>
      <c r="F4600" s="57"/>
    </row>
    <row r="4601" spans="1:6" ht="12.75">
      <c r="A4601" s="8"/>
      <c r="B4601" s="9"/>
      <c r="C4601" s="8" t="s">
        <v>857</v>
      </c>
      <c r="D4601" s="9"/>
      <c r="E4601" s="57" t="s">
        <v>858</v>
      </c>
      <c r="F4601" s="57"/>
    </row>
    <row r="4602" spans="4:9" ht="12.75">
      <c r="D4602" s="5" t="s">
        <v>911</v>
      </c>
      <c r="E4602" s="55" t="s">
        <v>199</v>
      </c>
      <c r="F4602" s="55"/>
      <c r="G4602" s="24">
        <v>230885252.98</v>
      </c>
      <c r="I4602" s="24">
        <f aca="true" t="shared" si="223" ref="I4602:I4611">G4602+H4602</f>
        <v>230885252.98</v>
      </c>
    </row>
    <row r="4603" spans="4:9" ht="12.75">
      <c r="D4603" s="5" t="s">
        <v>912</v>
      </c>
      <c r="E4603" s="55" t="s">
        <v>877</v>
      </c>
      <c r="F4603" s="55"/>
      <c r="G4603" s="24">
        <v>41328460.29</v>
      </c>
      <c r="I4603" s="24">
        <f t="shared" si="223"/>
        <v>41328460.29</v>
      </c>
    </row>
    <row r="4604" spans="4:9" ht="12.75">
      <c r="D4604" s="5" t="s">
        <v>922</v>
      </c>
      <c r="E4604" s="55" t="s">
        <v>201</v>
      </c>
      <c r="F4604" s="55"/>
      <c r="G4604" s="24">
        <v>9500958.95</v>
      </c>
      <c r="I4604" s="24">
        <f t="shared" si="223"/>
        <v>9500958.95</v>
      </c>
    </row>
    <row r="4605" spans="4:9" ht="12.75">
      <c r="D4605" s="5" t="s">
        <v>923</v>
      </c>
      <c r="E4605" s="55" t="s">
        <v>883</v>
      </c>
      <c r="F4605" s="55"/>
      <c r="G4605" s="24">
        <v>998465.22</v>
      </c>
      <c r="I4605" s="24">
        <f t="shared" si="223"/>
        <v>998465.22</v>
      </c>
    </row>
    <row r="4606" spans="4:9" ht="12.75">
      <c r="D4606" s="5" t="s">
        <v>924</v>
      </c>
      <c r="E4606" s="55" t="s">
        <v>203</v>
      </c>
      <c r="F4606" s="55"/>
      <c r="G4606" s="24">
        <v>10762626</v>
      </c>
      <c r="I4606" s="24">
        <f t="shared" si="223"/>
        <v>10762626</v>
      </c>
    </row>
    <row r="4607" spans="4:9" ht="12.75">
      <c r="D4607" s="5" t="s">
        <v>930</v>
      </c>
      <c r="E4607" s="55" t="s">
        <v>209</v>
      </c>
      <c r="F4607" s="55"/>
      <c r="G4607" s="24">
        <v>59332726.06</v>
      </c>
      <c r="I4607" s="24">
        <f t="shared" si="223"/>
        <v>59332726.06</v>
      </c>
    </row>
    <row r="4608" spans="4:9" ht="12.75">
      <c r="D4608" s="5" t="s">
        <v>750</v>
      </c>
      <c r="E4608" s="55" t="s">
        <v>887</v>
      </c>
      <c r="F4608" s="55"/>
      <c r="G4608" s="24">
        <f>792597495.69-93299</f>
        <v>792504196.69</v>
      </c>
      <c r="I4608" s="24">
        <f t="shared" si="223"/>
        <v>792504196.69</v>
      </c>
    </row>
    <row r="4609" spans="4:9" ht="12.75">
      <c r="D4609" s="5" t="s">
        <v>755</v>
      </c>
      <c r="E4609" s="55" t="s">
        <v>213</v>
      </c>
      <c r="F4609" s="55"/>
      <c r="G4609" s="24">
        <v>371886.87</v>
      </c>
      <c r="I4609" s="24">
        <f t="shared" si="223"/>
        <v>371886.87</v>
      </c>
    </row>
    <row r="4610" spans="4:9" ht="12.75">
      <c r="D4610" s="5" t="s">
        <v>926</v>
      </c>
      <c r="E4610" s="55" t="s">
        <v>885</v>
      </c>
      <c r="F4610" s="55"/>
      <c r="G4610" s="24">
        <v>17825411</v>
      </c>
      <c r="I4610" s="24">
        <f t="shared" si="223"/>
        <v>17825411</v>
      </c>
    </row>
    <row r="4611" spans="4:9" ht="13.5" thickBot="1">
      <c r="D4611" s="5" t="s">
        <v>940</v>
      </c>
      <c r="E4611" s="55" t="s">
        <v>897</v>
      </c>
      <c r="F4611" s="55"/>
      <c r="G4611" s="24">
        <f>391623189.77-190</f>
        <v>391622999.77</v>
      </c>
      <c r="I4611" s="24">
        <f t="shared" si="223"/>
        <v>391622999.77</v>
      </c>
    </row>
    <row r="4612" spans="5:9" ht="12.75">
      <c r="E4612" s="58" t="s">
        <v>61</v>
      </c>
      <c r="F4612" s="58"/>
      <c r="G4612" s="25"/>
      <c r="H4612" s="25"/>
      <c r="I4612" s="25"/>
    </row>
    <row r="4613" spans="4:9" ht="13.5" thickBot="1">
      <c r="D4613" s="5" t="s">
        <v>772</v>
      </c>
      <c r="E4613" s="55" t="s">
        <v>773</v>
      </c>
      <c r="F4613" s="55"/>
      <c r="G4613" s="24">
        <f>SUM(G4602:G4612)</f>
        <v>1555132983.83</v>
      </c>
      <c r="I4613" s="24">
        <f>G4613+H4613</f>
        <v>1555132983.83</v>
      </c>
    </row>
    <row r="4614" spans="5:9" ht="13.5" thickBot="1">
      <c r="E4614" s="56" t="s">
        <v>62</v>
      </c>
      <c r="F4614" s="56"/>
      <c r="G4614" s="26">
        <f>SUM(G4613:G4613)</f>
        <v>1555132983.83</v>
      </c>
      <c r="H4614" s="26">
        <f>SUM(H4613:H4613)</f>
        <v>0</v>
      </c>
      <c r="I4614" s="26">
        <f>G4614+H4614</f>
        <v>1555132983.83</v>
      </c>
    </row>
    <row r="4615" spans="5:9" ht="12.75">
      <c r="E4615" s="58" t="s">
        <v>672</v>
      </c>
      <c r="F4615" s="58"/>
      <c r="G4615" s="25"/>
      <c r="H4615" s="25"/>
      <c r="I4615" s="25"/>
    </row>
    <row r="4616" spans="4:9" ht="13.5" thickBot="1">
      <c r="D4616" s="5" t="s">
        <v>772</v>
      </c>
      <c r="E4616" s="55" t="s">
        <v>773</v>
      </c>
      <c r="F4616" s="55"/>
      <c r="G4616" s="24">
        <f>+G4613</f>
        <v>1555132983.83</v>
      </c>
      <c r="H4616" s="24">
        <v>0</v>
      </c>
      <c r="I4616" s="24">
        <f>G4616+H4616</f>
        <v>1555132983.83</v>
      </c>
    </row>
    <row r="4617" spans="5:9" ht="13.5" thickBot="1">
      <c r="E4617" s="56" t="s">
        <v>673</v>
      </c>
      <c r="F4617" s="56"/>
      <c r="G4617" s="26">
        <f>SUM(G4616:G4616)</f>
        <v>1555132983.83</v>
      </c>
      <c r="H4617" s="26">
        <f>SUM(H4616:H4616)</f>
        <v>0</v>
      </c>
      <c r="I4617" s="26">
        <f>G4617+H4617</f>
        <v>1555132983.83</v>
      </c>
    </row>
    <row r="4619" spans="1:6" ht="12.75">
      <c r="A4619" s="8" t="s">
        <v>766</v>
      </c>
      <c r="B4619" s="9" t="s">
        <v>674</v>
      </c>
      <c r="C4619" s="8"/>
      <c r="D4619" s="9"/>
      <c r="E4619" s="57" t="s">
        <v>244</v>
      </c>
      <c r="F4619" s="57"/>
    </row>
    <row r="4620" spans="1:6" ht="12.75">
      <c r="A4620" s="8"/>
      <c r="B4620" s="9"/>
      <c r="C4620" s="8" t="s">
        <v>861</v>
      </c>
      <c r="D4620" s="9"/>
      <c r="E4620" s="57" t="s">
        <v>862</v>
      </c>
      <c r="F4620" s="57"/>
    </row>
    <row r="4621" spans="4:9" ht="12.75">
      <c r="D4621" s="5" t="s">
        <v>911</v>
      </c>
      <c r="E4621" s="55" t="s">
        <v>199</v>
      </c>
      <c r="F4621" s="55"/>
      <c r="G4621" s="24">
        <v>16763255.34</v>
      </c>
      <c r="H4621" s="24">
        <v>0</v>
      </c>
      <c r="I4621" s="24">
        <f aca="true" t="shared" si="224" ref="I4621:I4634">G4621+H4621</f>
        <v>16763255.34</v>
      </c>
    </row>
    <row r="4622" spans="4:9" ht="12.75">
      <c r="D4622" s="5" t="s">
        <v>912</v>
      </c>
      <c r="E4622" s="55" t="s">
        <v>877</v>
      </c>
      <c r="F4622" s="55"/>
      <c r="G4622" s="24">
        <v>2482646.22</v>
      </c>
      <c r="H4622" s="24">
        <v>0</v>
      </c>
      <c r="I4622" s="24">
        <f t="shared" si="224"/>
        <v>2482646.22</v>
      </c>
    </row>
    <row r="4623" spans="4:9" ht="12.75">
      <c r="D4623" s="5" t="s">
        <v>918</v>
      </c>
      <c r="E4623" s="55" t="s">
        <v>878</v>
      </c>
      <c r="F4623" s="55"/>
      <c r="G4623" s="24">
        <v>385000</v>
      </c>
      <c r="H4623" s="24">
        <v>0</v>
      </c>
      <c r="I4623" s="24">
        <f t="shared" si="224"/>
        <v>385000</v>
      </c>
    </row>
    <row r="4624" spans="4:9" ht="12.75">
      <c r="D4624" s="5" t="s">
        <v>921</v>
      </c>
      <c r="E4624" s="55" t="s">
        <v>880</v>
      </c>
      <c r="F4624" s="55"/>
      <c r="G4624" s="24">
        <v>236666</v>
      </c>
      <c r="H4624" s="24">
        <v>0</v>
      </c>
      <c r="I4624" s="24">
        <f t="shared" si="224"/>
        <v>236666</v>
      </c>
    </row>
    <row r="4625" spans="4:9" ht="12.75">
      <c r="D4625" s="5" t="s">
        <v>913</v>
      </c>
      <c r="E4625" s="55" t="s">
        <v>881</v>
      </c>
      <c r="F4625" s="55"/>
      <c r="G4625" s="24">
        <v>2069070.27</v>
      </c>
      <c r="I4625" s="24">
        <f t="shared" si="224"/>
        <v>2069070.27</v>
      </c>
    </row>
    <row r="4626" spans="4:9" ht="12.75">
      <c r="D4626" s="5" t="s">
        <v>915</v>
      </c>
      <c r="E4626" s="55" t="s">
        <v>879</v>
      </c>
      <c r="F4626" s="55"/>
      <c r="G4626" s="24">
        <v>45000</v>
      </c>
      <c r="I4626" s="24">
        <f t="shared" si="224"/>
        <v>45000</v>
      </c>
    </row>
    <row r="4627" spans="4:9" ht="12.75">
      <c r="D4627" s="5" t="s">
        <v>916</v>
      </c>
      <c r="E4627" s="55" t="s">
        <v>882</v>
      </c>
      <c r="F4627" s="55"/>
      <c r="G4627" s="24">
        <v>892985.04</v>
      </c>
      <c r="I4627" s="24">
        <f t="shared" si="224"/>
        <v>892985.04</v>
      </c>
    </row>
    <row r="4628" spans="4:9" ht="12.75">
      <c r="D4628" s="5" t="s">
        <v>923</v>
      </c>
      <c r="E4628" s="55" t="s">
        <v>883</v>
      </c>
      <c r="F4628" s="55"/>
      <c r="G4628" s="24">
        <v>3311647.2</v>
      </c>
      <c r="I4628" s="24">
        <f t="shared" si="224"/>
        <v>3311647.2</v>
      </c>
    </row>
    <row r="4629" spans="4:9" ht="12.75">
      <c r="D4629" s="5" t="s">
        <v>924</v>
      </c>
      <c r="E4629" s="55" t="s">
        <v>203</v>
      </c>
      <c r="F4629" s="55"/>
      <c r="G4629" s="24">
        <v>170151.09</v>
      </c>
      <c r="I4629" s="24">
        <f t="shared" si="224"/>
        <v>170151.09</v>
      </c>
    </row>
    <row r="4630" spans="4:9" ht="12.75">
      <c r="D4630" s="5" t="s">
        <v>925</v>
      </c>
      <c r="E4630" s="55" t="s">
        <v>884</v>
      </c>
      <c r="F4630" s="55"/>
      <c r="G4630" s="24">
        <v>119628.58</v>
      </c>
      <c r="H4630" s="24">
        <v>0</v>
      </c>
      <c r="I4630" s="24">
        <f t="shared" si="224"/>
        <v>119628.58</v>
      </c>
    </row>
    <row r="4631" spans="4:9" ht="12.75">
      <c r="D4631" s="5" t="s">
        <v>750</v>
      </c>
      <c r="E4631" s="55" t="s">
        <v>887</v>
      </c>
      <c r="F4631" s="55"/>
      <c r="G4631" s="24">
        <v>29892361</v>
      </c>
      <c r="H4631" s="24">
        <v>0</v>
      </c>
      <c r="I4631" s="24">
        <f t="shared" si="224"/>
        <v>29892361</v>
      </c>
    </row>
    <row r="4632" spans="4:9" ht="12.75">
      <c r="D4632" s="5" t="s">
        <v>753</v>
      </c>
      <c r="E4632" s="55" t="s">
        <v>211</v>
      </c>
      <c r="F4632" s="55"/>
      <c r="G4632" s="24">
        <v>209392080</v>
      </c>
      <c r="H4632" s="24">
        <v>29446187</v>
      </c>
      <c r="I4632" s="24">
        <f t="shared" si="224"/>
        <v>238838267</v>
      </c>
    </row>
    <row r="4633" spans="4:9" ht="12.75">
      <c r="D4633" s="5" t="s">
        <v>754</v>
      </c>
      <c r="E4633" s="55" t="s">
        <v>212</v>
      </c>
      <c r="F4633" s="55"/>
      <c r="G4633" s="24">
        <v>9890</v>
      </c>
      <c r="H4633" s="24">
        <v>0</v>
      </c>
      <c r="I4633" s="24">
        <f t="shared" si="224"/>
        <v>9890</v>
      </c>
    </row>
    <row r="4634" spans="4:9" ht="13.5" thickBot="1">
      <c r="D4634" s="5" t="s">
        <v>755</v>
      </c>
      <c r="E4634" s="55" t="s">
        <v>213</v>
      </c>
      <c r="F4634" s="55"/>
      <c r="G4634" s="24">
        <v>28262.35</v>
      </c>
      <c r="H4634" s="24">
        <v>0</v>
      </c>
      <c r="I4634" s="24">
        <f t="shared" si="224"/>
        <v>28262.35</v>
      </c>
    </row>
    <row r="4635" spans="5:9" ht="12.75">
      <c r="E4635" s="58" t="s">
        <v>87</v>
      </c>
      <c r="F4635" s="58"/>
      <c r="G4635" s="25"/>
      <c r="H4635" s="25"/>
      <c r="I4635" s="25"/>
    </row>
    <row r="4636" spans="4:9" ht="12.75">
      <c r="D4636" s="5" t="s">
        <v>772</v>
      </c>
      <c r="E4636" s="55" t="s">
        <v>773</v>
      </c>
      <c r="F4636" s="55"/>
      <c r="G4636" s="24">
        <f>SUM(G4621:G4635)</f>
        <v>265798643.09</v>
      </c>
      <c r="I4636" s="24">
        <f>G4636+H4636</f>
        <v>265798643.09</v>
      </c>
    </row>
    <row r="4637" spans="4:9" ht="12.75">
      <c r="D4637" s="5" t="s">
        <v>784</v>
      </c>
      <c r="E4637" s="55" t="s">
        <v>785</v>
      </c>
      <c r="F4637" s="55"/>
      <c r="H4637" s="24">
        <v>9873483</v>
      </c>
      <c r="I4637" s="24">
        <f>G4637+H4637</f>
        <v>9873483</v>
      </c>
    </row>
    <row r="4638" spans="4:9" ht="13.5" thickBot="1">
      <c r="D4638" s="5" t="s">
        <v>825</v>
      </c>
      <c r="E4638" s="55" t="s">
        <v>905</v>
      </c>
      <c r="F4638" s="55"/>
      <c r="H4638" s="24">
        <v>19572704</v>
      </c>
      <c r="I4638" s="24">
        <f>G4638+H4638</f>
        <v>19572704</v>
      </c>
    </row>
    <row r="4639" spans="5:9" ht="13.5" thickBot="1">
      <c r="E4639" s="56" t="s">
        <v>88</v>
      </c>
      <c r="F4639" s="56"/>
      <c r="G4639" s="26">
        <f>SUM(G4636:G4638)</f>
        <v>265798643.09</v>
      </c>
      <c r="H4639" s="26">
        <f>SUM(H4636:H4638)</f>
        <v>29446187</v>
      </c>
      <c r="I4639" s="26">
        <f>G4639+H4639</f>
        <v>295244830.09000003</v>
      </c>
    </row>
    <row r="4640" spans="5:9" ht="12.75">
      <c r="E4640" s="58" t="s">
        <v>675</v>
      </c>
      <c r="F4640" s="58"/>
      <c r="G4640" s="25"/>
      <c r="H4640" s="25"/>
      <c r="I4640" s="25"/>
    </row>
    <row r="4641" spans="4:9" ht="12.75">
      <c r="D4641" s="5" t="s">
        <v>772</v>
      </c>
      <c r="E4641" s="55" t="s">
        <v>773</v>
      </c>
      <c r="F4641" s="55"/>
      <c r="G4641" s="24">
        <f>+G4636</f>
        <v>265798643.09</v>
      </c>
      <c r="H4641" s="24">
        <v>0</v>
      </c>
      <c r="I4641" s="24">
        <f>G4641+H4641</f>
        <v>265798643.09</v>
      </c>
    </row>
    <row r="4642" spans="4:9" ht="12.75">
      <c r="D4642" s="5" t="s">
        <v>784</v>
      </c>
      <c r="E4642" s="55" t="s">
        <v>785</v>
      </c>
      <c r="F4642" s="55"/>
      <c r="H4642" s="24">
        <f>+H4637</f>
        <v>9873483</v>
      </c>
      <c r="I4642" s="24">
        <f>G4642+H4642</f>
        <v>9873483</v>
      </c>
    </row>
    <row r="4643" spans="4:9" ht="13.5" thickBot="1">
      <c r="D4643" s="5" t="s">
        <v>825</v>
      </c>
      <c r="E4643" s="55" t="s">
        <v>905</v>
      </c>
      <c r="F4643" s="55"/>
      <c r="G4643" s="24">
        <v>0</v>
      </c>
      <c r="H4643" s="24">
        <f>+H4638</f>
        <v>19572704</v>
      </c>
      <c r="I4643" s="24">
        <f>G4643+H4643</f>
        <v>19572704</v>
      </c>
    </row>
    <row r="4644" spans="5:9" ht="13.5" thickBot="1">
      <c r="E4644" s="56" t="s">
        <v>676</v>
      </c>
      <c r="F4644" s="56"/>
      <c r="G4644" s="26">
        <f>SUM(G4641:G4643)</f>
        <v>265798643.09</v>
      </c>
      <c r="H4644" s="26">
        <f>SUM(H4641:H4643)</f>
        <v>29446187</v>
      </c>
      <c r="I4644" s="26">
        <f>G4644+H4644</f>
        <v>295244830.09000003</v>
      </c>
    </row>
    <row r="4646" spans="1:6" ht="15.75" customHeight="1">
      <c r="A4646" s="8" t="s">
        <v>766</v>
      </c>
      <c r="B4646" s="9" t="s">
        <v>677</v>
      </c>
      <c r="C4646" s="8"/>
      <c r="D4646" s="9"/>
      <c r="E4646" s="57" t="s">
        <v>245</v>
      </c>
      <c r="F4646" s="57"/>
    </row>
    <row r="4647" spans="1:6" ht="12.75">
      <c r="A4647" s="8"/>
      <c r="B4647" s="9"/>
      <c r="C4647" s="8" t="s">
        <v>849</v>
      </c>
      <c r="D4647" s="9"/>
      <c r="E4647" s="57" t="s">
        <v>850</v>
      </c>
      <c r="F4647" s="57"/>
    </row>
    <row r="4648" spans="4:9" ht="12.75">
      <c r="D4648" s="5" t="s">
        <v>911</v>
      </c>
      <c r="E4648" s="55" t="s">
        <v>199</v>
      </c>
      <c r="F4648" s="55"/>
      <c r="G4648" s="24">
        <v>22347739.22</v>
      </c>
      <c r="H4648" s="24">
        <v>0</v>
      </c>
      <c r="I4648" s="24">
        <f aca="true" t="shared" si="225" ref="I4648:I4660">G4648+H4648</f>
        <v>22347739.22</v>
      </c>
    </row>
    <row r="4649" spans="4:9" ht="12.75">
      <c r="D4649" s="5" t="s">
        <v>912</v>
      </c>
      <c r="E4649" s="55" t="s">
        <v>877</v>
      </c>
      <c r="F4649" s="55"/>
      <c r="G4649" s="24">
        <v>4000245.32</v>
      </c>
      <c r="H4649" s="24">
        <v>0</v>
      </c>
      <c r="I4649" s="24">
        <f t="shared" si="225"/>
        <v>4000245.32</v>
      </c>
    </row>
    <row r="4650" spans="4:9" ht="12.75">
      <c r="D4650" s="5" t="s">
        <v>921</v>
      </c>
      <c r="E4650" s="55" t="s">
        <v>880</v>
      </c>
      <c r="F4650" s="55"/>
      <c r="G4650" s="24">
        <v>160000</v>
      </c>
      <c r="H4650" s="24">
        <v>0</v>
      </c>
      <c r="I4650" s="24">
        <f t="shared" si="225"/>
        <v>160000</v>
      </c>
    </row>
    <row r="4651" spans="4:9" ht="12.75">
      <c r="D4651" s="5" t="s">
        <v>919</v>
      </c>
      <c r="E4651" s="55" t="s">
        <v>200</v>
      </c>
      <c r="F4651" s="55"/>
      <c r="G4651" s="24">
        <v>682615.8</v>
      </c>
      <c r="H4651" s="24">
        <v>0</v>
      </c>
      <c r="I4651" s="24">
        <f t="shared" si="225"/>
        <v>682615.8</v>
      </c>
    </row>
    <row r="4652" spans="4:9" ht="12.75">
      <c r="D4652" s="5" t="s">
        <v>913</v>
      </c>
      <c r="E4652" s="55" t="s">
        <v>881</v>
      </c>
      <c r="F4652" s="55"/>
      <c r="G4652" s="24">
        <v>867099</v>
      </c>
      <c r="H4652" s="24">
        <v>0</v>
      </c>
      <c r="I4652" s="24">
        <f t="shared" si="225"/>
        <v>867099</v>
      </c>
    </row>
    <row r="4653" spans="4:9" ht="12.75">
      <c r="D4653" s="5" t="s">
        <v>915</v>
      </c>
      <c r="E4653" s="55" t="s">
        <v>879</v>
      </c>
      <c r="F4653" s="55"/>
      <c r="G4653" s="24">
        <v>259999</v>
      </c>
      <c r="H4653" s="24">
        <v>0</v>
      </c>
      <c r="I4653" s="24">
        <f t="shared" si="225"/>
        <v>259999</v>
      </c>
    </row>
    <row r="4654" spans="4:9" ht="12.75">
      <c r="D4654" s="5" t="s">
        <v>916</v>
      </c>
      <c r="E4654" s="55" t="s">
        <v>882</v>
      </c>
      <c r="F4654" s="55"/>
      <c r="G4654" s="24">
        <v>8145999</v>
      </c>
      <c r="H4654" s="24">
        <v>0</v>
      </c>
      <c r="I4654" s="24">
        <f t="shared" si="225"/>
        <v>8145999</v>
      </c>
    </row>
    <row r="4655" spans="4:9" ht="12.75">
      <c r="D4655" s="5" t="s">
        <v>923</v>
      </c>
      <c r="E4655" s="55" t="s">
        <v>883</v>
      </c>
      <c r="F4655" s="55"/>
      <c r="G4655" s="24">
        <v>200000</v>
      </c>
      <c r="H4655" s="24">
        <v>0</v>
      </c>
      <c r="I4655" s="24">
        <f t="shared" si="225"/>
        <v>200000</v>
      </c>
    </row>
    <row r="4656" spans="4:9" ht="12.75">
      <c r="D4656" s="5" t="s">
        <v>924</v>
      </c>
      <c r="E4656" s="55" t="s">
        <v>203</v>
      </c>
      <c r="F4656" s="55"/>
      <c r="G4656" s="24">
        <v>638199</v>
      </c>
      <c r="H4656" s="24">
        <v>0</v>
      </c>
      <c r="I4656" s="24">
        <f t="shared" si="225"/>
        <v>638199</v>
      </c>
    </row>
    <row r="4657" spans="4:9" ht="12.75">
      <c r="D4657" s="5" t="s">
        <v>925</v>
      </c>
      <c r="E4657" s="55" t="s">
        <v>884</v>
      </c>
      <c r="F4657" s="55"/>
      <c r="G4657" s="24">
        <v>375999</v>
      </c>
      <c r="I4657" s="24">
        <f t="shared" si="225"/>
        <v>375999</v>
      </c>
    </row>
    <row r="4658" spans="4:9" ht="12.75">
      <c r="D4658" s="5" t="s">
        <v>754</v>
      </c>
      <c r="E4658" s="55" t="s">
        <v>212</v>
      </c>
      <c r="F4658" s="55"/>
      <c r="G4658" s="24">
        <v>26665</v>
      </c>
      <c r="H4658" s="24">
        <v>0</v>
      </c>
      <c r="I4658" s="24">
        <f t="shared" si="225"/>
        <v>26665</v>
      </c>
    </row>
    <row r="4659" spans="4:9" ht="12.75">
      <c r="D4659" s="5" t="s">
        <v>926</v>
      </c>
      <c r="E4659" s="55" t="s">
        <v>885</v>
      </c>
      <c r="F4659" s="55"/>
      <c r="G4659" s="24">
        <v>920000</v>
      </c>
      <c r="H4659" s="24">
        <v>0</v>
      </c>
      <c r="I4659" s="24">
        <f t="shared" si="225"/>
        <v>920000</v>
      </c>
    </row>
    <row r="4660" spans="4:9" ht="13.5" thickBot="1">
      <c r="D4660" s="5" t="s">
        <v>927</v>
      </c>
      <c r="E4660" s="55" t="s">
        <v>886</v>
      </c>
      <c r="F4660" s="55"/>
      <c r="G4660" s="24">
        <v>613333</v>
      </c>
      <c r="H4660" s="24">
        <v>0</v>
      </c>
      <c r="I4660" s="24">
        <f t="shared" si="225"/>
        <v>613333</v>
      </c>
    </row>
    <row r="4661" spans="5:9" ht="12.75">
      <c r="E4661" s="58" t="s">
        <v>25</v>
      </c>
      <c r="F4661" s="58"/>
      <c r="G4661" s="25"/>
      <c r="H4661" s="25"/>
      <c r="I4661" s="25"/>
    </row>
    <row r="4662" spans="4:9" ht="13.5" thickBot="1">
      <c r="D4662" s="5" t="s">
        <v>772</v>
      </c>
      <c r="E4662" s="55" t="s">
        <v>773</v>
      </c>
      <c r="F4662" s="55"/>
      <c r="G4662" s="24">
        <f>SUM(G4648:G4661)</f>
        <v>39237893.34</v>
      </c>
      <c r="I4662" s="24">
        <f>G4662+H4662</f>
        <v>39237893.34</v>
      </c>
    </row>
    <row r="4663" spans="5:9" ht="13.5" thickBot="1">
      <c r="E4663" s="56" t="s">
        <v>26</v>
      </c>
      <c r="F4663" s="56"/>
      <c r="G4663" s="26">
        <f>SUM(G4662:G4662)</f>
        <v>39237893.34</v>
      </c>
      <c r="H4663" s="26">
        <f>SUM(H4662:H4662)</f>
        <v>0</v>
      </c>
      <c r="I4663" s="26">
        <f>G4663+H4663</f>
        <v>39237893.34</v>
      </c>
    </row>
    <row r="4664" spans="5:9" ht="12.75">
      <c r="E4664" s="58" t="s">
        <v>678</v>
      </c>
      <c r="F4664" s="58"/>
      <c r="G4664" s="25"/>
      <c r="H4664" s="25"/>
      <c r="I4664" s="25"/>
    </row>
    <row r="4665" spans="4:9" ht="13.5" thickBot="1">
      <c r="D4665" s="5" t="s">
        <v>772</v>
      </c>
      <c r="E4665" s="55" t="s">
        <v>773</v>
      </c>
      <c r="F4665" s="55"/>
      <c r="G4665" s="24">
        <f>+G4662</f>
        <v>39237893.34</v>
      </c>
      <c r="H4665" s="24">
        <v>0</v>
      </c>
      <c r="I4665" s="24">
        <f>G4665+H4665</f>
        <v>39237893.34</v>
      </c>
    </row>
    <row r="4666" spans="5:9" ht="13.5" thickBot="1">
      <c r="E4666" s="56" t="s">
        <v>679</v>
      </c>
      <c r="F4666" s="56"/>
      <c r="G4666" s="26">
        <f>SUM(G4665:G4665)</f>
        <v>39237893.34</v>
      </c>
      <c r="H4666" s="26">
        <f>SUM(H4665:H4665)</f>
        <v>0</v>
      </c>
      <c r="I4666" s="26">
        <f>G4666+H4666</f>
        <v>39237893.34</v>
      </c>
    </row>
    <row r="4668" spans="1:6" ht="27" customHeight="1">
      <c r="A4668" s="8" t="s">
        <v>766</v>
      </c>
      <c r="B4668" s="9" t="s">
        <v>680</v>
      </c>
      <c r="C4668" s="8"/>
      <c r="D4668" s="9"/>
      <c r="E4668" s="57" t="s">
        <v>699</v>
      </c>
      <c r="F4668" s="57"/>
    </row>
    <row r="4669" spans="1:6" ht="12.75">
      <c r="A4669" s="8"/>
      <c r="B4669" s="9"/>
      <c r="C4669" s="8" t="s">
        <v>849</v>
      </c>
      <c r="D4669" s="9"/>
      <c r="E4669" s="57" t="s">
        <v>850</v>
      </c>
      <c r="F4669" s="57"/>
    </row>
    <row r="4670" spans="4:9" ht="12.75">
      <c r="D4670" s="5" t="s">
        <v>911</v>
      </c>
      <c r="E4670" s="55" t="s">
        <v>199</v>
      </c>
      <c r="F4670" s="55"/>
      <c r="G4670" s="24">
        <v>7483605.51</v>
      </c>
      <c r="H4670" s="24">
        <v>300000</v>
      </c>
      <c r="I4670" s="24">
        <f aca="true" t="shared" si="226" ref="I4670:I4682">G4670+H4670</f>
        <v>7783605.51</v>
      </c>
    </row>
    <row r="4671" spans="4:9" ht="12.75">
      <c r="D4671" s="5" t="s">
        <v>912</v>
      </c>
      <c r="E4671" s="55" t="s">
        <v>877</v>
      </c>
      <c r="F4671" s="55"/>
      <c r="G4671" s="24">
        <v>1339564.81</v>
      </c>
      <c r="H4671" s="24">
        <v>54000</v>
      </c>
      <c r="I4671" s="24">
        <f t="shared" si="226"/>
        <v>1393564.81</v>
      </c>
    </row>
    <row r="4672" spans="4:9" ht="12.75">
      <c r="D4672" s="5" t="s">
        <v>918</v>
      </c>
      <c r="E4672" s="55" t="s">
        <v>878</v>
      </c>
      <c r="F4672" s="55"/>
      <c r="G4672" s="24">
        <v>270121.55</v>
      </c>
      <c r="H4672" s="24">
        <v>0</v>
      </c>
      <c r="I4672" s="24">
        <f t="shared" si="226"/>
        <v>270121.55</v>
      </c>
    </row>
    <row r="4673" spans="4:9" ht="12.75">
      <c r="D4673" s="5" t="s">
        <v>921</v>
      </c>
      <c r="E4673" s="55" t="s">
        <v>880</v>
      </c>
      <c r="F4673" s="55"/>
      <c r="G4673" s="24">
        <v>147841</v>
      </c>
      <c r="H4673" s="24">
        <v>0</v>
      </c>
      <c r="I4673" s="24">
        <f t="shared" si="226"/>
        <v>147841</v>
      </c>
    </row>
    <row r="4674" spans="4:9" ht="12.75">
      <c r="D4674" s="5" t="s">
        <v>922</v>
      </c>
      <c r="E4674" s="55" t="s">
        <v>201</v>
      </c>
      <c r="F4674" s="55"/>
      <c r="G4674" s="24">
        <v>0</v>
      </c>
      <c r="H4674" s="24">
        <v>300000</v>
      </c>
      <c r="I4674" s="24">
        <f t="shared" si="226"/>
        <v>300000</v>
      </c>
    </row>
    <row r="4675" spans="4:9" ht="12.75">
      <c r="D4675" s="5" t="s">
        <v>913</v>
      </c>
      <c r="E4675" s="55" t="s">
        <v>881</v>
      </c>
      <c r="F4675" s="55"/>
      <c r="G4675" s="24">
        <v>357499</v>
      </c>
      <c r="H4675" s="24">
        <v>46000</v>
      </c>
      <c r="I4675" s="24">
        <f t="shared" si="226"/>
        <v>403499</v>
      </c>
    </row>
    <row r="4676" spans="4:9" ht="12.75">
      <c r="D4676" s="5" t="s">
        <v>915</v>
      </c>
      <c r="E4676" s="55" t="s">
        <v>879</v>
      </c>
      <c r="F4676" s="55"/>
      <c r="G4676" s="24">
        <v>39000</v>
      </c>
      <c r="H4676" s="24">
        <v>100000</v>
      </c>
      <c r="I4676" s="24">
        <f t="shared" si="226"/>
        <v>139000</v>
      </c>
    </row>
    <row r="4677" spans="4:9" ht="12.75">
      <c r="D4677" s="5" t="s">
        <v>916</v>
      </c>
      <c r="E4677" s="55" t="s">
        <v>882</v>
      </c>
      <c r="F4677" s="55"/>
      <c r="G4677" s="24">
        <v>3570000</v>
      </c>
      <c r="H4677" s="24">
        <v>2000000</v>
      </c>
      <c r="I4677" s="24">
        <f t="shared" si="226"/>
        <v>5570000</v>
      </c>
    </row>
    <row r="4678" spans="4:9" ht="12.75">
      <c r="D4678" s="5" t="s">
        <v>924</v>
      </c>
      <c r="E4678" s="55" t="s">
        <v>203</v>
      </c>
      <c r="F4678" s="55"/>
      <c r="G4678" s="24">
        <v>70200</v>
      </c>
      <c r="H4678" s="24">
        <v>0</v>
      </c>
      <c r="I4678" s="24">
        <f t="shared" si="226"/>
        <v>70200</v>
      </c>
    </row>
    <row r="4679" spans="4:9" ht="12.75">
      <c r="D4679" s="5" t="s">
        <v>925</v>
      </c>
      <c r="E4679" s="55" t="s">
        <v>884</v>
      </c>
      <c r="F4679" s="55"/>
      <c r="G4679" s="24">
        <v>140400</v>
      </c>
      <c r="H4679" s="24">
        <v>200000</v>
      </c>
      <c r="I4679" s="24">
        <f t="shared" si="226"/>
        <v>340400</v>
      </c>
    </row>
    <row r="4680" spans="4:9" ht="12.75">
      <c r="D4680" s="5" t="s">
        <v>754</v>
      </c>
      <c r="E4680" s="55" t="s">
        <v>212</v>
      </c>
      <c r="F4680" s="55"/>
      <c r="G4680" s="24">
        <v>13332</v>
      </c>
      <c r="H4680" s="24">
        <v>0</v>
      </c>
      <c r="I4680" s="24">
        <f t="shared" si="226"/>
        <v>13332</v>
      </c>
    </row>
    <row r="4681" spans="4:9" ht="12.75">
      <c r="D4681" s="5" t="s">
        <v>926</v>
      </c>
      <c r="E4681" s="55" t="s">
        <v>885</v>
      </c>
      <c r="F4681" s="55"/>
      <c r="G4681" s="24">
        <v>398666</v>
      </c>
      <c r="H4681" s="24">
        <v>0</v>
      </c>
      <c r="I4681" s="24">
        <f t="shared" si="226"/>
        <v>398666</v>
      </c>
    </row>
    <row r="4682" spans="4:9" ht="13.5" thickBot="1">
      <c r="D4682" s="5" t="s">
        <v>927</v>
      </c>
      <c r="E4682" s="55" t="s">
        <v>886</v>
      </c>
      <c r="F4682" s="55"/>
      <c r="G4682" s="24">
        <v>229333</v>
      </c>
      <c r="H4682" s="24">
        <v>0</v>
      </c>
      <c r="I4682" s="24">
        <f t="shared" si="226"/>
        <v>229333</v>
      </c>
    </row>
    <row r="4683" spans="5:9" ht="12.75">
      <c r="E4683" s="58" t="s">
        <v>25</v>
      </c>
      <c r="F4683" s="58"/>
      <c r="G4683" s="25"/>
      <c r="H4683" s="25"/>
      <c r="I4683" s="25"/>
    </row>
    <row r="4684" spans="4:9" ht="13.5" thickBot="1">
      <c r="D4684" s="5" t="s">
        <v>772</v>
      </c>
      <c r="E4684" s="55" t="s">
        <v>773</v>
      </c>
      <c r="F4684" s="55"/>
      <c r="G4684" s="24">
        <f>SUM(G4670:G4683)</f>
        <v>14059562.870000001</v>
      </c>
      <c r="I4684" s="24">
        <f>G4684+H4684</f>
        <v>14059562.870000001</v>
      </c>
    </row>
    <row r="4685" spans="5:9" ht="13.5" thickBot="1">
      <c r="E4685" s="56" t="s">
        <v>26</v>
      </c>
      <c r="F4685" s="56"/>
      <c r="G4685" s="26">
        <f>SUM(G4684:G4684)</f>
        <v>14059562.870000001</v>
      </c>
      <c r="H4685" s="26">
        <f>SUM(H4684:H4684)</f>
        <v>0</v>
      </c>
      <c r="I4685" s="26">
        <f>G4685+H4685</f>
        <v>14059562.870000001</v>
      </c>
    </row>
    <row r="4686" spans="5:9" ht="12.75">
      <c r="E4686" s="58" t="s">
        <v>681</v>
      </c>
      <c r="F4686" s="58"/>
      <c r="G4686" s="25"/>
      <c r="H4686" s="25"/>
      <c r="I4686" s="25"/>
    </row>
    <row r="4687" spans="4:9" ht="13.5" thickBot="1">
      <c r="D4687" s="5" t="s">
        <v>772</v>
      </c>
      <c r="E4687" s="55" t="s">
        <v>773</v>
      </c>
      <c r="F4687" s="55"/>
      <c r="G4687" s="24">
        <f>+G4684</f>
        <v>14059562.870000001</v>
      </c>
      <c r="H4687" s="24">
        <v>0</v>
      </c>
      <c r="I4687" s="24">
        <f>G4687+H4687</f>
        <v>14059562.870000001</v>
      </c>
    </row>
    <row r="4688" spans="5:9" ht="13.5" thickBot="1">
      <c r="E4688" s="56" t="s">
        <v>682</v>
      </c>
      <c r="F4688" s="56"/>
      <c r="G4688" s="26">
        <f>SUM(G4687:G4687)</f>
        <v>14059562.870000001</v>
      </c>
      <c r="H4688" s="26">
        <f>SUM(H4687:H4687)</f>
        <v>0</v>
      </c>
      <c r="I4688" s="26">
        <f>G4688+H4688</f>
        <v>14059562.870000001</v>
      </c>
    </row>
    <row r="4690" spans="1:6" ht="12.75">
      <c r="A4690" s="8" t="s">
        <v>766</v>
      </c>
      <c r="B4690" s="9" t="s">
        <v>683</v>
      </c>
      <c r="C4690" s="8"/>
      <c r="D4690" s="9"/>
      <c r="E4690" s="57" t="s">
        <v>246</v>
      </c>
      <c r="F4690" s="57"/>
    </row>
    <row r="4691" spans="1:6" ht="12.75">
      <c r="A4691" s="8"/>
      <c r="B4691" s="9"/>
      <c r="C4691" s="8" t="s">
        <v>861</v>
      </c>
      <c r="D4691" s="9"/>
      <c r="E4691" s="57" t="s">
        <v>862</v>
      </c>
      <c r="F4691" s="57"/>
    </row>
    <row r="4692" spans="4:9" ht="13.5" thickBot="1">
      <c r="D4692" s="5" t="s">
        <v>753</v>
      </c>
      <c r="E4692" s="55" t="s">
        <v>211</v>
      </c>
      <c r="F4692" s="55"/>
      <c r="G4692" s="24">
        <v>0</v>
      </c>
      <c r="H4692" s="24">
        <v>111206737</v>
      </c>
      <c r="I4692" s="24">
        <f>G4692+H4692</f>
        <v>111206737</v>
      </c>
    </row>
    <row r="4693" spans="5:9" ht="12.75">
      <c r="E4693" s="58" t="s">
        <v>87</v>
      </c>
      <c r="F4693" s="58"/>
      <c r="G4693" s="25"/>
      <c r="H4693" s="25"/>
      <c r="I4693" s="25"/>
    </row>
    <row r="4694" spans="4:9" ht="12.75">
      <c r="D4694" s="5" t="s">
        <v>784</v>
      </c>
      <c r="E4694" s="55" t="s">
        <v>785</v>
      </c>
      <c r="F4694" s="55"/>
      <c r="H4694" s="24">
        <v>84586591</v>
      </c>
      <c r="I4694" s="24">
        <f>G4694+H4694</f>
        <v>84586591</v>
      </c>
    </row>
    <row r="4695" spans="4:9" ht="13.5" thickBot="1">
      <c r="D4695" s="5" t="s">
        <v>825</v>
      </c>
      <c r="E4695" s="55" t="s">
        <v>905</v>
      </c>
      <c r="F4695" s="55"/>
      <c r="H4695" s="24">
        <v>26620146</v>
      </c>
      <c r="I4695" s="24">
        <f>G4695+H4695</f>
        <v>26620146</v>
      </c>
    </row>
    <row r="4696" spans="5:9" ht="13.5" thickBot="1">
      <c r="E4696" s="56" t="s">
        <v>88</v>
      </c>
      <c r="F4696" s="56"/>
      <c r="G4696" s="26">
        <f>SUM(G4694:G4695)</f>
        <v>0</v>
      </c>
      <c r="H4696" s="26">
        <f>SUM(H4694:H4695)</f>
        <v>111206737</v>
      </c>
      <c r="I4696" s="26">
        <f>G4696+H4696</f>
        <v>111206737</v>
      </c>
    </row>
    <row r="4697" spans="5:9" ht="12.75">
      <c r="E4697" s="58" t="s">
        <v>684</v>
      </c>
      <c r="F4697" s="58"/>
      <c r="G4697" s="25"/>
      <c r="H4697" s="25"/>
      <c r="I4697" s="25"/>
    </row>
    <row r="4698" spans="4:9" ht="12.75">
      <c r="D4698" s="5" t="s">
        <v>784</v>
      </c>
      <c r="E4698" s="55" t="s">
        <v>785</v>
      </c>
      <c r="F4698" s="55"/>
      <c r="G4698" s="24">
        <v>0</v>
      </c>
      <c r="H4698" s="24">
        <f>+H4694</f>
        <v>84586591</v>
      </c>
      <c r="I4698" s="24">
        <f>G4698+H4698</f>
        <v>84586591</v>
      </c>
    </row>
    <row r="4699" spans="4:9" ht="13.5" thickBot="1">
      <c r="D4699" s="5" t="s">
        <v>825</v>
      </c>
      <c r="E4699" s="55" t="s">
        <v>905</v>
      </c>
      <c r="F4699" s="55"/>
      <c r="G4699" s="24">
        <v>0</v>
      </c>
      <c r="H4699" s="24">
        <f>+H4695</f>
        <v>26620146</v>
      </c>
      <c r="I4699" s="24">
        <f>G4699+H4699</f>
        <v>26620146</v>
      </c>
    </row>
    <row r="4700" spans="5:9" ht="13.5" thickBot="1">
      <c r="E4700" s="56" t="s">
        <v>685</v>
      </c>
      <c r="F4700" s="56"/>
      <c r="G4700" s="26">
        <f>SUM(G4698:G4699)</f>
        <v>0</v>
      </c>
      <c r="H4700" s="26">
        <f>SUM(H4698:H4699)</f>
        <v>111206737</v>
      </c>
      <c r="I4700" s="26">
        <f>G4700+H4700</f>
        <v>111206737</v>
      </c>
    </row>
    <row r="4702" spans="1:6" ht="12.75">
      <c r="A4702" s="8" t="s">
        <v>766</v>
      </c>
      <c r="B4702" s="9" t="s">
        <v>686</v>
      </c>
      <c r="C4702" s="8"/>
      <c r="D4702" s="9"/>
      <c r="E4702" s="57" t="s">
        <v>247</v>
      </c>
      <c r="F4702" s="57"/>
    </row>
    <row r="4703" spans="1:6" ht="12.75">
      <c r="A4703" s="8"/>
      <c r="B4703" s="9"/>
      <c r="C4703" s="8" t="s">
        <v>861</v>
      </c>
      <c r="D4703" s="9"/>
      <c r="E4703" s="57" t="s">
        <v>862</v>
      </c>
      <c r="F4703" s="57"/>
    </row>
    <row r="4704" spans="4:9" ht="12.75">
      <c r="D4704" s="5" t="s">
        <v>911</v>
      </c>
      <c r="E4704" s="55" t="s">
        <v>199</v>
      </c>
      <c r="F4704" s="55"/>
      <c r="G4704" s="24">
        <v>1617376.41</v>
      </c>
      <c r="H4704" s="24">
        <v>0</v>
      </c>
      <c r="I4704" s="24">
        <f aca="true" t="shared" si="227" ref="I4704:I4710">G4704+H4704</f>
        <v>1617376.41</v>
      </c>
    </row>
    <row r="4705" spans="4:9" ht="12.75">
      <c r="D4705" s="5" t="s">
        <v>912</v>
      </c>
      <c r="E4705" s="55" t="s">
        <v>877</v>
      </c>
      <c r="F4705" s="55"/>
      <c r="G4705" s="24">
        <v>280550.9</v>
      </c>
      <c r="H4705" s="24">
        <v>0</v>
      </c>
      <c r="I4705" s="24">
        <f t="shared" si="227"/>
        <v>280550.9</v>
      </c>
    </row>
    <row r="4706" spans="4:9" ht="12.75">
      <c r="D4706" s="5" t="s">
        <v>919</v>
      </c>
      <c r="E4706" s="55" t="s">
        <v>200</v>
      </c>
      <c r="F4706" s="55"/>
      <c r="G4706" s="24">
        <v>24896</v>
      </c>
      <c r="H4706" s="24">
        <v>0</v>
      </c>
      <c r="I4706" s="24">
        <f t="shared" si="227"/>
        <v>24896</v>
      </c>
    </row>
    <row r="4707" spans="4:9" ht="12.75">
      <c r="D4707" s="5" t="s">
        <v>913</v>
      </c>
      <c r="E4707" s="55" t="s">
        <v>881</v>
      </c>
      <c r="F4707" s="55"/>
      <c r="G4707" s="24">
        <v>173933</v>
      </c>
      <c r="H4707" s="24">
        <v>0</v>
      </c>
      <c r="I4707" s="24">
        <f t="shared" si="227"/>
        <v>173933</v>
      </c>
    </row>
    <row r="4708" spans="4:9" ht="12.75">
      <c r="D4708" s="5" t="s">
        <v>915</v>
      </c>
      <c r="E4708" s="55" t="s">
        <v>879</v>
      </c>
      <c r="F4708" s="55"/>
      <c r="G4708" s="24">
        <v>45557</v>
      </c>
      <c r="H4708" s="24">
        <v>0</v>
      </c>
      <c r="I4708" s="24">
        <f t="shared" si="227"/>
        <v>45557</v>
      </c>
    </row>
    <row r="4709" spans="4:9" ht="12.75">
      <c r="D4709" s="5" t="s">
        <v>923</v>
      </c>
      <c r="E4709" s="55" t="s">
        <v>883</v>
      </c>
      <c r="F4709" s="55"/>
      <c r="G4709" s="24">
        <v>177092</v>
      </c>
      <c r="H4709" s="24">
        <v>0</v>
      </c>
      <c r="I4709" s="24">
        <f t="shared" si="227"/>
        <v>177092</v>
      </c>
    </row>
    <row r="4710" spans="4:9" ht="13.5" thickBot="1">
      <c r="D4710" s="5" t="s">
        <v>925</v>
      </c>
      <c r="E4710" s="55" t="s">
        <v>884</v>
      </c>
      <c r="F4710" s="55"/>
      <c r="G4710" s="24">
        <v>616969</v>
      </c>
      <c r="H4710" s="24">
        <v>0</v>
      </c>
      <c r="I4710" s="24">
        <f t="shared" si="227"/>
        <v>616969</v>
      </c>
    </row>
    <row r="4711" spans="5:9" ht="12.75">
      <c r="E4711" s="58" t="s">
        <v>87</v>
      </c>
      <c r="F4711" s="58"/>
      <c r="G4711" s="25"/>
      <c r="H4711" s="25"/>
      <c r="I4711" s="25"/>
    </row>
    <row r="4712" spans="4:9" ht="13.5" thickBot="1">
      <c r="D4712" s="5" t="s">
        <v>772</v>
      </c>
      <c r="E4712" s="55" t="s">
        <v>773</v>
      </c>
      <c r="F4712" s="55"/>
      <c r="G4712" s="24">
        <f>SUM(G4704:G4711)</f>
        <v>2936374.31</v>
      </c>
      <c r="I4712" s="24">
        <f>G4712+H4712</f>
        <v>2936374.31</v>
      </c>
    </row>
    <row r="4713" spans="5:9" ht="13.5" thickBot="1">
      <c r="E4713" s="56" t="s">
        <v>88</v>
      </c>
      <c r="F4713" s="56"/>
      <c r="G4713" s="26">
        <f>SUM(G4712:G4712)</f>
        <v>2936374.31</v>
      </c>
      <c r="H4713" s="26">
        <f>SUM(H4712:H4712)</f>
        <v>0</v>
      </c>
      <c r="I4713" s="26">
        <f>G4713+H4713</f>
        <v>2936374.31</v>
      </c>
    </row>
    <row r="4714" spans="5:9" ht="12.75">
      <c r="E4714" s="58" t="s">
        <v>687</v>
      </c>
      <c r="F4714" s="58"/>
      <c r="G4714" s="25"/>
      <c r="H4714" s="25"/>
      <c r="I4714" s="25"/>
    </row>
    <row r="4715" spans="4:9" ht="13.5" thickBot="1">
      <c r="D4715" s="5" t="s">
        <v>772</v>
      </c>
      <c r="E4715" s="55" t="s">
        <v>773</v>
      </c>
      <c r="F4715" s="55"/>
      <c r="G4715" s="24">
        <f>+G4712</f>
        <v>2936374.31</v>
      </c>
      <c r="H4715" s="24">
        <v>0</v>
      </c>
      <c r="I4715" s="24">
        <f>G4715+H4715</f>
        <v>2936374.31</v>
      </c>
    </row>
    <row r="4716" spans="5:9" ht="13.5" thickBot="1">
      <c r="E4716" s="56" t="s">
        <v>688</v>
      </c>
      <c r="F4716" s="56"/>
      <c r="G4716" s="26">
        <f>SUM(G4715:G4715)</f>
        <v>2936374.31</v>
      </c>
      <c r="H4716" s="26">
        <f>SUM(H4715:H4715)</f>
        <v>0</v>
      </c>
      <c r="I4716" s="26">
        <f>G4716+H4716</f>
        <v>2936374.31</v>
      </c>
    </row>
    <row r="4717" spans="5:9" ht="12.75">
      <c r="E4717" s="58" t="s">
        <v>689</v>
      </c>
      <c r="F4717" s="58"/>
      <c r="G4717" s="25"/>
      <c r="H4717" s="25"/>
      <c r="I4717" s="25"/>
    </row>
    <row r="4718" spans="4:9" ht="12.75">
      <c r="D4718" s="5" t="s">
        <v>772</v>
      </c>
      <c r="E4718" s="55" t="s">
        <v>773</v>
      </c>
      <c r="F4718" s="55"/>
      <c r="G4718" s="24">
        <v>40659024000</v>
      </c>
      <c r="H4718" s="24">
        <v>0</v>
      </c>
      <c r="I4718" s="24">
        <f>G4718+H4718</f>
        <v>40659024000</v>
      </c>
    </row>
    <row r="4719" spans="4:9" ht="12.75">
      <c r="D4719" s="5" t="s">
        <v>784</v>
      </c>
      <c r="E4719" s="55" t="s">
        <v>785</v>
      </c>
      <c r="F4719" s="55"/>
      <c r="G4719" s="24">
        <v>0</v>
      </c>
      <c r="H4719" s="24">
        <v>123170234</v>
      </c>
      <c r="I4719" s="24">
        <f>G4719+H4719</f>
        <v>123170234</v>
      </c>
    </row>
    <row r="4720" spans="4:9" ht="12.75">
      <c r="D4720" s="5" t="s">
        <v>790</v>
      </c>
      <c r="E4720" s="55" t="s">
        <v>791</v>
      </c>
      <c r="F4720" s="55"/>
      <c r="G4720" s="24">
        <v>0</v>
      </c>
      <c r="H4720" s="24">
        <v>29525136.52</v>
      </c>
      <c r="I4720" s="24">
        <f>G4720+H4720</f>
        <v>29525136.52</v>
      </c>
    </row>
    <row r="4721" spans="4:9" ht="13.5" thickBot="1">
      <c r="D4721" s="5" t="s">
        <v>825</v>
      </c>
      <c r="E4721" s="55" t="s">
        <v>905</v>
      </c>
      <c r="F4721" s="55"/>
      <c r="G4721" s="24">
        <v>0</v>
      </c>
      <c r="H4721" s="24">
        <v>46192850</v>
      </c>
      <c r="I4721" s="24">
        <f>G4721+H4721</f>
        <v>46192850</v>
      </c>
    </row>
    <row r="4722" spans="5:9" ht="13.5" thickBot="1">
      <c r="E4722" s="56" t="s">
        <v>690</v>
      </c>
      <c r="F4722" s="56"/>
      <c r="G4722" s="26">
        <f>SUM(G4718:G4721)</f>
        <v>40659024000</v>
      </c>
      <c r="H4722" s="26">
        <f>SUM(H4718:H4721)</f>
        <v>198888220.52</v>
      </c>
      <c r="I4722" s="26">
        <f>G4722+H4722</f>
        <v>40857912220.52</v>
      </c>
    </row>
    <row r="4724" spans="1:6" ht="12.75">
      <c r="A4724" s="8">
        <v>67</v>
      </c>
      <c r="B4724" s="9" t="s">
        <v>766</v>
      </c>
      <c r="C4724" s="8"/>
      <c r="D4724" s="9"/>
      <c r="E4724" s="57" t="s">
        <v>43</v>
      </c>
      <c r="F4724" s="57"/>
    </row>
    <row r="4725" spans="1:6" ht="27" customHeight="1">
      <c r="A4725" s="8"/>
      <c r="B4725" s="9"/>
      <c r="C4725" s="8" t="s">
        <v>802</v>
      </c>
      <c r="D4725" s="9"/>
      <c r="E4725" s="57" t="s">
        <v>803</v>
      </c>
      <c r="F4725" s="57"/>
    </row>
    <row r="4726" spans="4:9" ht="12.75">
      <c r="D4726" s="5" t="s">
        <v>911</v>
      </c>
      <c r="E4726" s="55" t="s">
        <v>199</v>
      </c>
      <c r="F4726" s="55"/>
      <c r="G4726" s="24">
        <v>20468424.93</v>
      </c>
      <c r="H4726" s="24">
        <v>0</v>
      </c>
      <c r="I4726" s="24">
        <f aca="true" t="shared" si="228" ref="I4726:I4740">G4726+H4726</f>
        <v>20468424.93</v>
      </c>
    </row>
    <row r="4727" spans="4:9" ht="12.75">
      <c r="D4727" s="5" t="s">
        <v>912</v>
      </c>
      <c r="E4727" s="55" t="s">
        <v>877</v>
      </c>
      <c r="F4727" s="55"/>
      <c r="G4727" s="24">
        <v>3677642.32</v>
      </c>
      <c r="H4727" s="24">
        <v>0</v>
      </c>
      <c r="I4727" s="24">
        <f t="shared" si="228"/>
        <v>3677642.32</v>
      </c>
    </row>
    <row r="4728" spans="4:9" ht="12.75">
      <c r="D4728" s="5" t="s">
        <v>921</v>
      </c>
      <c r="E4728" s="55" t="s">
        <v>880</v>
      </c>
      <c r="F4728" s="55"/>
      <c r="G4728" s="24">
        <v>114545.19</v>
      </c>
      <c r="H4728" s="24">
        <v>0</v>
      </c>
      <c r="I4728" s="24">
        <f t="shared" si="228"/>
        <v>114545.19</v>
      </c>
    </row>
    <row r="4729" spans="4:9" ht="12.75">
      <c r="D4729" s="5" t="s">
        <v>919</v>
      </c>
      <c r="E4729" s="55" t="s">
        <v>200</v>
      </c>
      <c r="F4729" s="55"/>
      <c r="G4729" s="24">
        <v>1229757.73</v>
      </c>
      <c r="H4729" s="24">
        <v>0</v>
      </c>
      <c r="I4729" s="24">
        <f t="shared" si="228"/>
        <v>1229757.73</v>
      </c>
    </row>
    <row r="4730" spans="4:9" ht="12.75">
      <c r="D4730" s="5" t="s">
        <v>913</v>
      </c>
      <c r="E4730" s="55" t="s">
        <v>881</v>
      </c>
      <c r="F4730" s="55"/>
      <c r="G4730" s="24">
        <v>1319392.72</v>
      </c>
      <c r="H4730" s="24">
        <v>0</v>
      </c>
      <c r="I4730" s="24">
        <f t="shared" si="228"/>
        <v>1319392.72</v>
      </c>
    </row>
    <row r="4731" spans="4:9" ht="12.75">
      <c r="D4731" s="5" t="s">
        <v>915</v>
      </c>
      <c r="E4731" s="55" t="s">
        <v>879</v>
      </c>
      <c r="F4731" s="55"/>
      <c r="G4731" s="24">
        <v>363130.55</v>
      </c>
      <c r="H4731" s="24">
        <v>33667</v>
      </c>
      <c r="I4731" s="24">
        <f t="shared" si="228"/>
        <v>396797.55</v>
      </c>
    </row>
    <row r="4732" spans="4:9" ht="12.75">
      <c r="D4732" s="5" t="s">
        <v>916</v>
      </c>
      <c r="E4732" s="55" t="s">
        <v>882</v>
      </c>
      <c r="F4732" s="55"/>
      <c r="G4732" s="24">
        <v>2029040.29</v>
      </c>
      <c r="H4732" s="24">
        <v>2274208.96</v>
      </c>
      <c r="I4732" s="24">
        <f t="shared" si="228"/>
        <v>4303249.25</v>
      </c>
    </row>
    <row r="4733" spans="4:9" ht="12.75">
      <c r="D4733" s="5" t="s">
        <v>923</v>
      </c>
      <c r="E4733" s="55" t="s">
        <v>883</v>
      </c>
      <c r="F4733" s="55"/>
      <c r="G4733" s="24">
        <v>7600000</v>
      </c>
      <c r="H4733" s="24">
        <v>0</v>
      </c>
      <c r="I4733" s="24">
        <f t="shared" si="228"/>
        <v>7600000</v>
      </c>
    </row>
    <row r="4734" spans="4:9" ht="12.75">
      <c r="D4734" s="5" t="s">
        <v>924</v>
      </c>
      <c r="E4734" s="55" t="s">
        <v>203</v>
      </c>
      <c r="F4734" s="55"/>
      <c r="G4734" s="24">
        <v>329655.63</v>
      </c>
      <c r="H4734" s="24">
        <v>0</v>
      </c>
      <c r="I4734" s="24">
        <f t="shared" si="228"/>
        <v>329655.63</v>
      </c>
    </row>
    <row r="4735" spans="4:9" ht="12.75">
      <c r="D4735" s="5" t="s">
        <v>925</v>
      </c>
      <c r="E4735" s="55" t="s">
        <v>884</v>
      </c>
      <c r="F4735" s="55"/>
      <c r="G4735" s="24">
        <v>1334873.4</v>
      </c>
      <c r="H4735" s="24">
        <v>7430</v>
      </c>
      <c r="I4735" s="24">
        <f t="shared" si="228"/>
        <v>1342303.4</v>
      </c>
    </row>
    <row r="4736" spans="4:9" ht="12.75">
      <c r="D4736" s="5" t="s">
        <v>749</v>
      </c>
      <c r="E4736" s="55" t="s">
        <v>896</v>
      </c>
      <c r="F4736" s="55"/>
      <c r="G4736" s="7">
        <v>1193500000</v>
      </c>
      <c r="H4736" s="7">
        <v>0</v>
      </c>
      <c r="I4736" s="7">
        <f t="shared" si="228"/>
        <v>1193500000</v>
      </c>
    </row>
    <row r="4737" spans="4:9" ht="12.75">
      <c r="D4737" s="5" t="s">
        <v>929</v>
      </c>
      <c r="E4737" s="55" t="s">
        <v>208</v>
      </c>
      <c r="F4737" s="55"/>
      <c r="G4737" s="24">
        <v>2842184.84</v>
      </c>
      <c r="I4737" s="24">
        <f t="shared" si="228"/>
        <v>2842184.84</v>
      </c>
    </row>
    <row r="4738" spans="4:9" ht="12.75">
      <c r="D4738" s="5" t="s">
        <v>754</v>
      </c>
      <c r="E4738" s="55" t="s">
        <v>212</v>
      </c>
      <c r="F4738" s="55"/>
      <c r="G4738" s="24">
        <v>43936</v>
      </c>
      <c r="I4738" s="24">
        <f t="shared" si="228"/>
        <v>43936</v>
      </c>
    </row>
    <row r="4739" spans="4:9" ht="12.75">
      <c r="D4739" s="5" t="s">
        <v>926</v>
      </c>
      <c r="E4739" s="55" t="s">
        <v>885</v>
      </c>
      <c r="F4739" s="55"/>
      <c r="I4739" s="24">
        <f t="shared" si="228"/>
        <v>0</v>
      </c>
    </row>
    <row r="4740" spans="4:9" ht="13.5" thickBot="1">
      <c r="D4740" s="5" t="s">
        <v>927</v>
      </c>
      <c r="E4740" s="55" t="s">
        <v>886</v>
      </c>
      <c r="F4740" s="55"/>
      <c r="G4740" s="24">
        <v>146467995.6</v>
      </c>
      <c r="I4740" s="24">
        <f t="shared" si="228"/>
        <v>146467995.6</v>
      </c>
    </row>
    <row r="4741" spans="5:9" ht="12.75">
      <c r="E4741" s="58" t="s">
        <v>32</v>
      </c>
      <c r="F4741" s="58"/>
      <c r="G4741" s="25"/>
      <c r="H4741" s="25"/>
      <c r="I4741" s="25"/>
    </row>
    <row r="4742" spans="4:9" ht="12.75">
      <c r="D4742" s="5" t="s">
        <v>772</v>
      </c>
      <c r="E4742" s="55" t="s">
        <v>773</v>
      </c>
      <c r="F4742" s="55"/>
      <c r="G4742" s="24">
        <f>SUM(G4726:G4740)</f>
        <v>1381320579.1999998</v>
      </c>
      <c r="I4742" s="24">
        <f>G4742+H4742</f>
        <v>1381320579.1999998</v>
      </c>
    </row>
    <row r="4743" spans="4:9" ht="12.75">
      <c r="D4743" s="5" t="s">
        <v>778</v>
      </c>
      <c r="E4743" s="55" t="s">
        <v>779</v>
      </c>
      <c r="F4743" s="55"/>
      <c r="H4743" s="24">
        <v>476779.61</v>
      </c>
      <c r="I4743" s="24">
        <f>G4743+H4743</f>
        <v>476779.61</v>
      </c>
    </row>
    <row r="4744" spans="4:9" ht="13.5" thickBot="1">
      <c r="D4744" s="5" t="s">
        <v>979</v>
      </c>
      <c r="E4744" s="55" t="s">
        <v>374</v>
      </c>
      <c r="F4744" s="55"/>
      <c r="H4744" s="24">
        <v>1838526.35</v>
      </c>
      <c r="I4744" s="24">
        <f>G4744+H4744</f>
        <v>1838526.35</v>
      </c>
    </row>
    <row r="4745" spans="5:9" ht="13.5" thickBot="1">
      <c r="E4745" s="56" t="s">
        <v>33</v>
      </c>
      <c r="F4745" s="56"/>
      <c r="G4745" s="26">
        <f>SUM(G4742:G4744)</f>
        <v>1381320579.1999998</v>
      </c>
      <c r="H4745" s="26">
        <f>SUM(H4742:H4744)</f>
        <v>2315305.96</v>
      </c>
      <c r="I4745" s="26">
        <f>G4745+H4745</f>
        <v>1383635885.1599998</v>
      </c>
    </row>
    <row r="4746" spans="5:9" ht="12.75">
      <c r="E4746" s="58" t="s">
        <v>344</v>
      </c>
      <c r="F4746" s="58"/>
      <c r="G4746" s="25"/>
      <c r="H4746" s="25"/>
      <c r="I4746" s="25"/>
    </row>
    <row r="4747" spans="4:9" ht="12.75">
      <c r="D4747" s="5" t="s">
        <v>772</v>
      </c>
      <c r="E4747" s="55" t="s">
        <v>773</v>
      </c>
      <c r="F4747" s="55"/>
      <c r="G4747" s="24">
        <f>+G4742</f>
        <v>1381320579.1999998</v>
      </c>
      <c r="H4747" s="24">
        <v>0</v>
      </c>
      <c r="I4747" s="24">
        <f>G4747+H4747</f>
        <v>1381320579.1999998</v>
      </c>
    </row>
    <row r="4748" spans="4:9" ht="12.75">
      <c r="D4748" s="5" t="s">
        <v>778</v>
      </c>
      <c r="E4748" s="55" t="s">
        <v>779</v>
      </c>
      <c r="F4748" s="55"/>
      <c r="G4748" s="24">
        <v>456395420.8000001</v>
      </c>
      <c r="H4748" s="24">
        <f>+H4743</f>
        <v>476779.61</v>
      </c>
      <c r="I4748" s="24">
        <f>G4748+H4748</f>
        <v>456872200.4100001</v>
      </c>
    </row>
    <row r="4749" spans="4:9" ht="13.5" thickBot="1">
      <c r="D4749" s="5" t="s">
        <v>979</v>
      </c>
      <c r="E4749" s="55" t="s">
        <v>374</v>
      </c>
      <c r="F4749" s="55"/>
      <c r="G4749" s="24">
        <v>0</v>
      </c>
      <c r="H4749" s="24">
        <f>+H4744</f>
        <v>1838526.35</v>
      </c>
      <c r="I4749" s="24">
        <f>G4749+H4749</f>
        <v>1838526.35</v>
      </c>
    </row>
    <row r="4750" spans="5:9" ht="13.5" thickBot="1">
      <c r="E4750" s="56" t="s">
        <v>345</v>
      </c>
      <c r="F4750" s="56"/>
      <c r="G4750" s="26">
        <f>SUM(G4747:G4749)</f>
        <v>1837716000</v>
      </c>
      <c r="H4750" s="26">
        <f>SUM(H4747:H4749)</f>
        <v>2315305.96</v>
      </c>
      <c r="I4750" s="26">
        <f>G4750+H4750</f>
        <v>1840031305.96</v>
      </c>
    </row>
    <row r="4752" spans="1:6" ht="12.75">
      <c r="A4752" s="8" t="s">
        <v>766</v>
      </c>
      <c r="B4752" s="9" t="s">
        <v>691</v>
      </c>
      <c r="C4752" s="8"/>
      <c r="D4752" s="9"/>
      <c r="E4752" s="57" t="s">
        <v>256</v>
      </c>
      <c r="F4752" s="57"/>
    </row>
    <row r="4753" spans="1:6" ht="12.75">
      <c r="A4753" s="8"/>
      <c r="B4753" s="9"/>
      <c r="C4753" s="8" t="s">
        <v>770</v>
      </c>
      <c r="D4753" s="9"/>
      <c r="E4753" s="57" t="s">
        <v>771</v>
      </c>
      <c r="F4753" s="57"/>
    </row>
    <row r="4754" spans="4:9" ht="12.75">
      <c r="D4754" s="5" t="s">
        <v>911</v>
      </c>
      <c r="E4754" s="55" t="s">
        <v>199</v>
      </c>
      <c r="F4754" s="55"/>
      <c r="G4754" s="24">
        <v>28744086.06</v>
      </c>
      <c r="H4754" s="24">
        <v>0</v>
      </c>
      <c r="I4754" s="24">
        <f aca="true" t="shared" si="229" ref="I4754:I4766">G4754+H4754</f>
        <v>28744086.06</v>
      </c>
    </row>
    <row r="4755" spans="4:9" ht="12.75">
      <c r="D4755" s="5" t="s">
        <v>912</v>
      </c>
      <c r="E4755" s="55" t="s">
        <v>877</v>
      </c>
      <c r="F4755" s="55"/>
      <c r="G4755" s="24">
        <v>5165342.71</v>
      </c>
      <c r="H4755" s="24">
        <v>0</v>
      </c>
      <c r="I4755" s="24">
        <f t="shared" si="229"/>
        <v>5165342.71</v>
      </c>
    </row>
    <row r="4756" spans="4:9" ht="12.75">
      <c r="D4756" s="5" t="s">
        <v>918</v>
      </c>
      <c r="E4756" s="55" t="s">
        <v>878</v>
      </c>
      <c r="F4756" s="55"/>
      <c r="G4756" s="24">
        <v>16891.2</v>
      </c>
      <c r="H4756" s="24">
        <v>0</v>
      </c>
      <c r="I4756" s="24">
        <f t="shared" si="229"/>
        <v>16891.2</v>
      </c>
    </row>
    <row r="4757" spans="4:9" ht="12.75">
      <c r="D4757" s="5" t="s">
        <v>921</v>
      </c>
      <c r="E4757" s="55" t="s">
        <v>880</v>
      </c>
      <c r="F4757" s="55"/>
      <c r="G4757" s="24">
        <v>45264</v>
      </c>
      <c r="H4757" s="24">
        <v>967949.02</v>
      </c>
      <c r="I4757" s="24">
        <f t="shared" si="229"/>
        <v>1013213.02</v>
      </c>
    </row>
    <row r="4758" spans="4:9" ht="12.75">
      <c r="D4758" s="5" t="s">
        <v>919</v>
      </c>
      <c r="E4758" s="55" t="s">
        <v>200</v>
      </c>
      <c r="F4758" s="55"/>
      <c r="G4758" s="24">
        <v>1342097.88</v>
      </c>
      <c r="H4758" s="24">
        <v>0</v>
      </c>
      <c r="I4758" s="24">
        <f t="shared" si="229"/>
        <v>1342097.88</v>
      </c>
    </row>
    <row r="4759" spans="4:9" ht="12.75">
      <c r="D4759" s="5" t="s">
        <v>913</v>
      </c>
      <c r="E4759" s="55" t="s">
        <v>881</v>
      </c>
      <c r="F4759" s="55"/>
      <c r="G4759" s="24">
        <v>1792429.52</v>
      </c>
      <c r="H4759" s="24">
        <v>207407.68</v>
      </c>
      <c r="I4759" s="24">
        <f t="shared" si="229"/>
        <v>1999837.2</v>
      </c>
    </row>
    <row r="4760" spans="4:9" ht="12.75">
      <c r="D4760" s="5" t="s">
        <v>915</v>
      </c>
      <c r="E4760" s="55" t="s">
        <v>879</v>
      </c>
      <c r="F4760" s="55"/>
      <c r="G4760" s="24">
        <v>378652.59</v>
      </c>
      <c r="H4760" s="24">
        <v>5535418.87</v>
      </c>
      <c r="I4760" s="24">
        <f t="shared" si="229"/>
        <v>5914071.46</v>
      </c>
    </row>
    <row r="4761" spans="4:9" ht="12.75">
      <c r="D4761" s="5" t="s">
        <v>916</v>
      </c>
      <c r="E4761" s="55" t="s">
        <v>882</v>
      </c>
      <c r="F4761" s="55"/>
      <c r="G4761" s="24">
        <v>293149.5</v>
      </c>
      <c r="H4761" s="24">
        <v>1205298.23</v>
      </c>
      <c r="I4761" s="24">
        <f t="shared" si="229"/>
        <v>1498447.73</v>
      </c>
    </row>
    <row r="4762" spans="4:9" ht="12.75">
      <c r="D4762" s="5" t="s">
        <v>923</v>
      </c>
      <c r="E4762" s="55" t="s">
        <v>883</v>
      </c>
      <c r="F4762" s="55"/>
      <c r="G4762" s="24">
        <f>391112.44+1</f>
        <v>391113.44</v>
      </c>
      <c r="H4762" s="24">
        <v>0</v>
      </c>
      <c r="I4762" s="24">
        <f t="shared" si="229"/>
        <v>391113.44</v>
      </c>
    </row>
    <row r="4763" spans="4:9" ht="12.75">
      <c r="D4763" s="5" t="s">
        <v>924</v>
      </c>
      <c r="E4763" s="55" t="s">
        <v>203</v>
      </c>
      <c r="F4763" s="55"/>
      <c r="G4763" s="24">
        <v>374983.86</v>
      </c>
      <c r="H4763" s="24">
        <v>1150887.63</v>
      </c>
      <c r="I4763" s="24">
        <f t="shared" si="229"/>
        <v>1525871.4899999998</v>
      </c>
    </row>
    <row r="4764" spans="4:9" ht="12.75">
      <c r="D4764" s="5" t="s">
        <v>925</v>
      </c>
      <c r="E4764" s="55" t="s">
        <v>884</v>
      </c>
      <c r="F4764" s="55"/>
      <c r="G4764" s="24">
        <v>555681.9</v>
      </c>
      <c r="H4764" s="24">
        <v>1194750</v>
      </c>
      <c r="I4764" s="24">
        <f t="shared" si="229"/>
        <v>1750431.9</v>
      </c>
    </row>
    <row r="4765" spans="4:9" ht="12.75">
      <c r="D4765" s="5" t="s">
        <v>754</v>
      </c>
      <c r="E4765" s="55" t="s">
        <v>212</v>
      </c>
      <c r="F4765" s="55"/>
      <c r="G4765" s="24">
        <v>41767.67</v>
      </c>
      <c r="H4765" s="24">
        <v>0</v>
      </c>
      <c r="I4765" s="24">
        <f t="shared" si="229"/>
        <v>41767.67</v>
      </c>
    </row>
    <row r="4766" spans="4:9" ht="13.5" thickBot="1">
      <c r="D4766" s="5" t="s">
        <v>927</v>
      </c>
      <c r="E4766" s="55" t="s">
        <v>886</v>
      </c>
      <c r="F4766" s="55"/>
      <c r="G4766" s="24">
        <v>1073959.99</v>
      </c>
      <c r="H4766" s="24">
        <v>0</v>
      </c>
      <c r="I4766" s="24">
        <f t="shared" si="229"/>
        <v>1073959.99</v>
      </c>
    </row>
    <row r="4767" spans="5:9" ht="12.75">
      <c r="E4767" s="58" t="s">
        <v>346</v>
      </c>
      <c r="F4767" s="58"/>
      <c r="G4767" s="25"/>
      <c r="H4767" s="25"/>
      <c r="I4767" s="25"/>
    </row>
    <row r="4768" spans="4:9" ht="12.75">
      <c r="D4768" s="5" t="s">
        <v>772</v>
      </c>
      <c r="E4768" s="55" t="s">
        <v>773</v>
      </c>
      <c r="F4768" s="55"/>
      <c r="G4768" s="24">
        <f>SUM(G4754:G4767)</f>
        <v>40215420.32000001</v>
      </c>
      <c r="I4768" s="24">
        <f>G4768+H4768</f>
        <v>40215420.32000001</v>
      </c>
    </row>
    <row r="4769" spans="4:9" ht="13.5" thickBot="1">
      <c r="D4769" s="5" t="s">
        <v>784</v>
      </c>
      <c r="E4769" s="55" t="s">
        <v>785</v>
      </c>
      <c r="F4769" s="55"/>
      <c r="H4769" s="24">
        <f>SUM(H4754:H4768)</f>
        <v>10261711.43</v>
      </c>
      <c r="I4769" s="24">
        <f>G4769+H4769</f>
        <v>10261711.43</v>
      </c>
    </row>
    <row r="4770" spans="5:9" ht="13.5" thickBot="1">
      <c r="E4770" s="56" t="s">
        <v>347</v>
      </c>
      <c r="F4770" s="56"/>
      <c r="G4770" s="26">
        <f>SUM(G4768:G4769)</f>
        <v>40215420.32000001</v>
      </c>
      <c r="H4770" s="26">
        <f>SUM(H4768:H4769)</f>
        <v>10261711.43</v>
      </c>
      <c r="I4770" s="26">
        <f>G4770+H4770</f>
        <v>50477131.75000001</v>
      </c>
    </row>
    <row r="4771" spans="5:9" ht="12.75">
      <c r="E4771" s="58" t="s">
        <v>692</v>
      </c>
      <c r="F4771" s="58"/>
      <c r="G4771" s="25"/>
      <c r="H4771" s="25"/>
      <c r="I4771" s="25"/>
    </row>
    <row r="4772" spans="4:9" ht="12.75">
      <c r="D4772" s="5" t="s">
        <v>772</v>
      </c>
      <c r="E4772" s="55" t="s">
        <v>773</v>
      </c>
      <c r="F4772" s="55"/>
      <c r="G4772" s="24">
        <f>+G4768</f>
        <v>40215420.32000001</v>
      </c>
      <c r="H4772" s="24">
        <v>0</v>
      </c>
      <c r="I4772" s="24">
        <f>G4772+H4772</f>
        <v>40215420.32000001</v>
      </c>
    </row>
    <row r="4773" spans="4:9" ht="13.5" thickBot="1">
      <c r="D4773" s="5" t="s">
        <v>784</v>
      </c>
      <c r="E4773" s="55" t="s">
        <v>785</v>
      </c>
      <c r="F4773" s="55"/>
      <c r="G4773" s="24">
        <v>20687606.330000002</v>
      </c>
      <c r="H4773" s="24">
        <f>+H4769</f>
        <v>10261711.43</v>
      </c>
      <c r="I4773" s="24">
        <f>G4773+H4773</f>
        <v>30949317.76</v>
      </c>
    </row>
    <row r="4774" spans="5:9" ht="13.5" thickBot="1">
      <c r="E4774" s="56" t="s">
        <v>693</v>
      </c>
      <c r="F4774" s="56"/>
      <c r="G4774" s="26">
        <f>SUM(G4772:G4773)</f>
        <v>60903026.650000006</v>
      </c>
      <c r="H4774" s="26">
        <f>SUM(H4772:H4773)</f>
        <v>10261711.43</v>
      </c>
      <c r="I4774" s="26">
        <f>G4774+H4774</f>
        <v>71164738.08000001</v>
      </c>
    </row>
    <row r="4775" spans="5:9" ht="12.75">
      <c r="E4775" s="58" t="s">
        <v>694</v>
      </c>
      <c r="F4775" s="58"/>
      <c r="G4775" s="25"/>
      <c r="H4775" s="25"/>
      <c r="I4775" s="25"/>
    </row>
    <row r="4776" spans="4:9" ht="12.75">
      <c r="D4776" s="5" t="s">
        <v>772</v>
      </c>
      <c r="E4776" s="55" t="s">
        <v>773</v>
      </c>
      <c r="F4776" s="55"/>
      <c r="G4776" s="24">
        <v>1898528000</v>
      </c>
      <c r="H4776" s="24">
        <v>0</v>
      </c>
      <c r="I4776" s="24">
        <f>G4776+H4776</f>
        <v>1898528000</v>
      </c>
    </row>
    <row r="4777" spans="4:9" ht="12.75">
      <c r="D4777" s="5" t="s">
        <v>784</v>
      </c>
      <c r="E4777" s="55" t="s">
        <v>785</v>
      </c>
      <c r="F4777" s="55"/>
      <c r="G4777" s="24">
        <v>0</v>
      </c>
      <c r="H4777" s="24">
        <f>+H4773</f>
        <v>10261711.43</v>
      </c>
      <c r="I4777" s="24">
        <f>G4777+H4777</f>
        <v>10261711.43</v>
      </c>
    </row>
    <row r="4778" spans="4:9" ht="12.75">
      <c r="D4778" s="5" t="s">
        <v>778</v>
      </c>
      <c r="E4778" s="55" t="s">
        <v>779</v>
      </c>
      <c r="F4778" s="55"/>
      <c r="G4778" s="24">
        <v>0</v>
      </c>
      <c r="H4778" s="24">
        <f>+H4748</f>
        <v>476779.61</v>
      </c>
      <c r="I4778" s="24">
        <f>G4778+H4778</f>
        <v>476779.61</v>
      </c>
    </row>
    <row r="4779" spans="4:9" ht="13.5" thickBot="1">
      <c r="D4779" s="5" t="s">
        <v>979</v>
      </c>
      <c r="E4779" s="55" t="s">
        <v>374</v>
      </c>
      <c r="F4779" s="55"/>
      <c r="G4779" s="24">
        <v>0</v>
      </c>
      <c r="H4779" s="24">
        <f>+H4749</f>
        <v>1838526.35</v>
      </c>
      <c r="I4779" s="24">
        <f>G4779+H4779</f>
        <v>1838526.35</v>
      </c>
    </row>
    <row r="4780" spans="5:9" ht="13.5" thickBot="1">
      <c r="E4780" s="56" t="s">
        <v>695</v>
      </c>
      <c r="F4780" s="56"/>
      <c r="G4780" s="26">
        <f>SUM(G4776:G4779)</f>
        <v>1898528000</v>
      </c>
      <c r="H4780" s="26">
        <f>SUM(H4776:H4779)</f>
        <v>12577017.389999999</v>
      </c>
      <c r="I4780" s="26">
        <f>G4780+H4780</f>
        <v>1911105017.39</v>
      </c>
    </row>
  </sheetData>
  <sheetProtection/>
  <mergeCells count="4532">
    <mergeCell ref="E1816:F1816"/>
    <mergeCell ref="E1603:F1603"/>
    <mergeCell ref="E1668:F1668"/>
    <mergeCell ref="E1626:F1626"/>
    <mergeCell ref="E1613:F1613"/>
    <mergeCell ref="E2609:F2609"/>
    <mergeCell ref="E1551:F1551"/>
    <mergeCell ref="E1546:F1546"/>
    <mergeCell ref="E1907:F1907"/>
    <mergeCell ref="E1872:F1872"/>
    <mergeCell ref="E2607:F2607"/>
    <mergeCell ref="E2600:F2600"/>
    <mergeCell ref="E2601:F2601"/>
    <mergeCell ref="E2602:F2602"/>
    <mergeCell ref="E2604:F2604"/>
    <mergeCell ref="E2605:F2605"/>
    <mergeCell ref="E4478:F4478"/>
    <mergeCell ref="E4178:F4178"/>
    <mergeCell ref="E4179:F4179"/>
    <mergeCell ref="E2794:F2794"/>
    <mergeCell ref="E2802:F2802"/>
    <mergeCell ref="E2853:F2853"/>
    <mergeCell ref="E2855:F2855"/>
    <mergeCell ref="E3014:F3014"/>
    <mergeCell ref="E3011:F3011"/>
    <mergeCell ref="E4188:F4188"/>
    <mergeCell ref="E4189:F4189"/>
    <mergeCell ref="E4466:F4466"/>
    <mergeCell ref="E4473:F4473"/>
    <mergeCell ref="E4470:F4470"/>
    <mergeCell ref="E4194:F4194"/>
    <mergeCell ref="E4471:F4471"/>
    <mergeCell ref="E4472:F4472"/>
    <mergeCell ref="E4455:F4455"/>
    <mergeCell ref="E4456:F4456"/>
    <mergeCell ref="E4476:F4476"/>
    <mergeCell ref="E4477:F4477"/>
    <mergeCell ref="E4475:F4475"/>
    <mergeCell ref="E4474:F4474"/>
    <mergeCell ref="E4457:F4457"/>
    <mergeCell ref="E4458:F4458"/>
    <mergeCell ref="E4469:F4469"/>
    <mergeCell ref="E4467:F4467"/>
    <mergeCell ref="E4459:F4459"/>
    <mergeCell ref="E4460:F4460"/>
    <mergeCell ref="E4462:F4462"/>
    <mergeCell ref="E4468:F4468"/>
    <mergeCell ref="E4465:F4465"/>
    <mergeCell ref="E4190:F4190"/>
    <mergeCell ref="E4191:F4191"/>
    <mergeCell ref="E4192:F4192"/>
    <mergeCell ref="E4193:F4193"/>
    <mergeCell ref="E4452:F4452"/>
    <mergeCell ref="E4197:F4197"/>
    <mergeCell ref="E4322:F4322"/>
    <mergeCell ref="E4215:F4215"/>
    <mergeCell ref="E4216:F4216"/>
    <mergeCell ref="E4202:F4202"/>
    <mergeCell ref="E4327:F4327"/>
    <mergeCell ref="E4204:F4204"/>
    <mergeCell ref="E4257:F4257"/>
    <mergeCell ref="E4242:F4242"/>
    <mergeCell ref="E4148:F4148"/>
    <mergeCell ref="E4157:F4157"/>
    <mergeCell ref="E4196:F4196"/>
    <mergeCell ref="E4182:F4182"/>
    <mergeCell ref="E4183:F4183"/>
    <mergeCell ref="E4195:F4195"/>
    <mergeCell ref="E4167:F4167"/>
    <mergeCell ref="E4160:F4160"/>
    <mergeCell ref="E4172:F4172"/>
    <mergeCell ref="E4173:F4173"/>
    <mergeCell ref="E3852:F3852"/>
    <mergeCell ref="E3863:F3863"/>
    <mergeCell ref="E3873:F3873"/>
    <mergeCell ref="E3909:F3909"/>
    <mergeCell ref="E3853:F3853"/>
    <mergeCell ref="E3864:F3864"/>
    <mergeCell ref="E3898:F3898"/>
    <mergeCell ref="E3907:F3907"/>
    <mergeCell ref="E3854:F3854"/>
    <mergeCell ref="E3869:F3869"/>
    <mergeCell ref="E4134:F4134"/>
    <mergeCell ref="E3921:F3921"/>
    <mergeCell ref="E3929:F3929"/>
    <mergeCell ref="E3949:F3949"/>
    <mergeCell ref="E4127:F4127"/>
    <mergeCell ref="E4091:F4091"/>
    <mergeCell ref="E4085:F4085"/>
    <mergeCell ref="E4084:F4084"/>
    <mergeCell ref="E4031:F4031"/>
    <mergeCell ref="E4170:F4170"/>
    <mergeCell ref="E4155:F4155"/>
    <mergeCell ref="E4137:F4137"/>
    <mergeCell ref="E1908:F1908"/>
    <mergeCell ref="E2606:F2606"/>
    <mergeCell ref="E2690:F2690"/>
    <mergeCell ref="E2694:F2694"/>
    <mergeCell ref="E3893:F3893"/>
    <mergeCell ref="E3850:F3850"/>
    <mergeCell ref="E3851:F3851"/>
    <mergeCell ref="E4185:F4185"/>
    <mergeCell ref="E4186:F4186"/>
    <mergeCell ref="E4187:F4187"/>
    <mergeCell ref="E4180:F4180"/>
    <mergeCell ref="E4181:F4181"/>
    <mergeCell ref="E4184:F4184"/>
    <mergeCell ref="E4169:F4169"/>
    <mergeCell ref="E4163:F4163"/>
    <mergeCell ref="E4166:F4166"/>
    <mergeCell ref="E4158:F4158"/>
    <mergeCell ref="E4164:F4164"/>
    <mergeCell ref="E4168:F4168"/>
    <mergeCell ref="E4162:F4162"/>
    <mergeCell ref="E3902:F3902"/>
    <mergeCell ref="E4165:F4165"/>
    <mergeCell ref="E4154:F4154"/>
    <mergeCell ref="E4149:F4149"/>
    <mergeCell ref="E4141:F4141"/>
    <mergeCell ref="E4147:F4147"/>
    <mergeCell ref="E4146:F4146"/>
    <mergeCell ref="E4132:F4132"/>
    <mergeCell ref="E4159:F4159"/>
    <mergeCell ref="E3950:F3950"/>
    <mergeCell ref="E3966:F3966"/>
    <mergeCell ref="E3964:F3964"/>
    <mergeCell ref="E3963:F3963"/>
    <mergeCell ref="E3962:F3962"/>
    <mergeCell ref="E3958:F3958"/>
    <mergeCell ref="E4126:F4126"/>
    <mergeCell ref="E4101:F4101"/>
    <mergeCell ref="E4156:F4156"/>
    <mergeCell ref="A4:A5"/>
    <mergeCell ref="B4:B5"/>
    <mergeCell ref="C4:C5"/>
    <mergeCell ref="D4:D5"/>
    <mergeCell ref="E3884:F3884"/>
    <mergeCell ref="E3861:F3861"/>
    <mergeCell ref="E3862:F3862"/>
    <mergeCell ref="E3879:F3879"/>
    <mergeCell ref="E3880:F3880"/>
    <mergeCell ref="E3882:F3882"/>
    <mergeCell ref="E3865:F3865"/>
    <mergeCell ref="E3876:F3876"/>
    <mergeCell ref="E3906:F3906"/>
    <mergeCell ref="E3904:F3904"/>
    <mergeCell ref="E3920:F3920"/>
    <mergeCell ref="E3924:F3924"/>
    <mergeCell ref="E3908:F3908"/>
    <mergeCell ref="E3911:F3911"/>
    <mergeCell ref="E3918:F3918"/>
    <mergeCell ref="E3919:F3919"/>
    <mergeCell ref="E3916:F3916"/>
    <mergeCell ref="E3917:F3917"/>
    <mergeCell ref="E3766:F3766"/>
    <mergeCell ref="E1360:F1360"/>
    <mergeCell ref="E1311:F1311"/>
    <mergeCell ref="E3702:F3702"/>
    <mergeCell ref="E3709:F3709"/>
    <mergeCell ref="E1905:F1905"/>
    <mergeCell ref="E1865:F1865"/>
    <mergeCell ref="E1548:F1548"/>
    <mergeCell ref="E1552:F1552"/>
    <mergeCell ref="E1770:F1770"/>
    <mergeCell ref="I4:I5"/>
    <mergeCell ref="E6:F6"/>
    <mergeCell ref="E4:F5"/>
    <mergeCell ref="G4:G5"/>
    <mergeCell ref="H4:H5"/>
    <mergeCell ref="E3823:F3823"/>
    <mergeCell ref="E3824:F3824"/>
    <mergeCell ref="E3826:F3826"/>
    <mergeCell ref="E3827:F3827"/>
    <mergeCell ref="E3825:F3825"/>
    <mergeCell ref="E3841:F3841"/>
    <mergeCell ref="E3820:F3820"/>
    <mergeCell ref="E3819:F3819"/>
    <mergeCell ref="E3822:F3822"/>
    <mergeCell ref="E3829:F3829"/>
    <mergeCell ref="E3836:F3836"/>
    <mergeCell ref="E3838:F3838"/>
    <mergeCell ref="E3839:F3839"/>
    <mergeCell ref="E3840:F3840"/>
    <mergeCell ref="E3837:F3837"/>
    <mergeCell ref="E3848:F3848"/>
    <mergeCell ref="E3845:F3845"/>
    <mergeCell ref="E3849:F3849"/>
    <mergeCell ref="E3842:F3842"/>
    <mergeCell ref="E3846:F3846"/>
    <mergeCell ref="E3844:F3844"/>
    <mergeCell ref="E3843:F3843"/>
    <mergeCell ref="E3847:F3847"/>
    <mergeCell ref="E3712:F3712"/>
    <mergeCell ref="E3715:F3715"/>
    <mergeCell ref="E3716:F3716"/>
    <mergeCell ref="E3808:F3808"/>
    <mergeCell ref="E3763:F3763"/>
    <mergeCell ref="E3773:F3773"/>
    <mergeCell ref="E3775:F3775"/>
    <mergeCell ref="E3769:F3769"/>
    <mergeCell ref="E3774:F3774"/>
    <mergeCell ref="E3806:F3806"/>
    <mergeCell ref="E3666:F3666"/>
    <mergeCell ref="E3667:F3667"/>
    <mergeCell ref="E3668:F3668"/>
    <mergeCell ref="E3661:F3661"/>
    <mergeCell ref="E3662:F3662"/>
    <mergeCell ref="E3663:F3663"/>
    <mergeCell ref="E3543:F3543"/>
    <mergeCell ref="E3539:F3539"/>
    <mergeCell ref="E3618:F3618"/>
    <mergeCell ref="E3579:F3579"/>
    <mergeCell ref="E3591:F3591"/>
    <mergeCell ref="E3578:F3578"/>
    <mergeCell ref="E3553:F3553"/>
    <mergeCell ref="E3544:F3544"/>
    <mergeCell ref="E3547:F3547"/>
    <mergeCell ref="E3548:F3548"/>
    <mergeCell ref="E3660:F3660"/>
    <mergeCell ref="E3658:F3658"/>
    <mergeCell ref="E3621:F3621"/>
    <mergeCell ref="E3652:F3652"/>
    <mergeCell ref="E3651:F3651"/>
    <mergeCell ref="E3657:F3657"/>
    <mergeCell ref="E3656:F3656"/>
    <mergeCell ref="E3659:F3659"/>
    <mergeCell ref="E3650:F3650"/>
    <mergeCell ref="E3646:F3646"/>
    <mergeCell ref="E3421:F3421"/>
    <mergeCell ref="E3508:F3508"/>
    <mergeCell ref="E3477:F3477"/>
    <mergeCell ref="E3599:F3599"/>
    <mergeCell ref="E3583:F3583"/>
    <mergeCell ref="E3582:F3582"/>
    <mergeCell ref="E3594:F3594"/>
    <mergeCell ref="E3595:F3595"/>
    <mergeCell ref="E3589:F3589"/>
    <mergeCell ref="E3586:F3586"/>
    <mergeCell ref="E3457:F3457"/>
    <mergeCell ref="E3456:F3456"/>
    <mergeCell ref="E3455:F3455"/>
    <mergeCell ref="E3416:F3416"/>
    <mergeCell ref="E3432:F3432"/>
    <mergeCell ref="E3439:F3439"/>
    <mergeCell ref="E3418:F3418"/>
    <mergeCell ref="E3419:F3419"/>
    <mergeCell ref="E3438:F3438"/>
    <mergeCell ref="E3441:F3441"/>
    <mergeCell ref="E3356:F3356"/>
    <mergeCell ref="E3410:F3410"/>
    <mergeCell ref="E3409:F3409"/>
    <mergeCell ref="E3412:F3412"/>
    <mergeCell ref="E3411:F3411"/>
    <mergeCell ref="E3370:F3370"/>
    <mergeCell ref="E3357:F3357"/>
    <mergeCell ref="E3358:F3358"/>
    <mergeCell ref="E3367:F3367"/>
    <mergeCell ref="E3393:F3393"/>
    <mergeCell ref="E3390:F3390"/>
    <mergeCell ref="E3392:F3392"/>
    <mergeCell ref="E3391:F3391"/>
    <mergeCell ref="E3325:F3325"/>
    <mergeCell ref="E3369:F3369"/>
    <mergeCell ref="E3361:F3361"/>
    <mergeCell ref="E3348:F3348"/>
    <mergeCell ref="E3349:F3349"/>
    <mergeCell ref="E3362:F3362"/>
    <mergeCell ref="E3366:F3366"/>
    <mergeCell ref="E3324:F3324"/>
    <mergeCell ref="E3343:F3343"/>
    <mergeCell ref="E3344:F3344"/>
    <mergeCell ref="E3333:F3333"/>
    <mergeCell ref="E3330:F3330"/>
    <mergeCell ref="E3331:F3331"/>
    <mergeCell ref="E3337:F3337"/>
    <mergeCell ref="E3335:F3335"/>
    <mergeCell ref="E3334:F3334"/>
    <mergeCell ref="E3319:F3319"/>
    <mergeCell ref="E3320:F3320"/>
    <mergeCell ref="E3321:F3321"/>
    <mergeCell ref="E3322:F3322"/>
    <mergeCell ref="E3318:F3318"/>
    <mergeCell ref="E3304:F3304"/>
    <mergeCell ref="E3312:F3312"/>
    <mergeCell ref="E3311:F3311"/>
    <mergeCell ref="E3305:F3305"/>
    <mergeCell ref="E3307:F3307"/>
    <mergeCell ref="E3306:F3306"/>
    <mergeCell ref="E3308:F3308"/>
    <mergeCell ref="E3314:F3314"/>
    <mergeCell ref="E3274:F3274"/>
    <mergeCell ref="E3289:F3289"/>
    <mergeCell ref="E3317:F3317"/>
    <mergeCell ref="E3315:F3315"/>
    <mergeCell ref="E3313:F3313"/>
    <mergeCell ref="E3294:F3294"/>
    <mergeCell ref="E3295:F3295"/>
    <mergeCell ref="E3291:F3291"/>
    <mergeCell ref="E3292:F3292"/>
    <mergeCell ref="E3255:F3255"/>
    <mergeCell ref="E3256:F3256"/>
    <mergeCell ref="E3236:F3236"/>
    <mergeCell ref="E3268:F3268"/>
    <mergeCell ref="E3215:F3215"/>
    <mergeCell ref="E3213:F3213"/>
    <mergeCell ref="E3212:F3212"/>
    <mergeCell ref="E3263:F3263"/>
    <mergeCell ref="E3230:F3230"/>
    <mergeCell ref="E3232:F3232"/>
    <mergeCell ref="E3233:F3233"/>
    <mergeCell ref="E3231:F3231"/>
    <mergeCell ref="E3257:F3257"/>
    <mergeCell ref="E3260:F3260"/>
    <mergeCell ref="E3224:F3224"/>
    <mergeCell ref="E3206:F3206"/>
    <mergeCell ref="E3207:F3207"/>
    <mergeCell ref="E3208:F3208"/>
    <mergeCell ref="E3209:F3209"/>
    <mergeCell ref="E3217:F3217"/>
    <mergeCell ref="E3219:F3219"/>
    <mergeCell ref="E3210:F3210"/>
    <mergeCell ref="E3211:F3211"/>
    <mergeCell ref="E3214:F3214"/>
    <mergeCell ref="E3252:F3252"/>
    <mergeCell ref="E3225:F3225"/>
    <mergeCell ref="E3226:F3226"/>
    <mergeCell ref="E3242:F3242"/>
    <mergeCell ref="E3239:F3239"/>
    <mergeCell ref="E3247:F3247"/>
    <mergeCell ref="E3243:F3243"/>
    <mergeCell ref="E3227:F3227"/>
    <mergeCell ref="E3221:F3221"/>
    <mergeCell ref="E3218:F3218"/>
    <mergeCell ref="E3222:F3222"/>
    <mergeCell ref="E3223:F3223"/>
    <mergeCell ref="E3245:F3245"/>
    <mergeCell ref="E3244:F3244"/>
    <mergeCell ref="E3071:F3071"/>
    <mergeCell ref="E3205:F3205"/>
    <mergeCell ref="E3201:F3201"/>
    <mergeCell ref="E3181:F3181"/>
    <mergeCell ref="E3184:F3184"/>
    <mergeCell ref="E3192:F3192"/>
    <mergeCell ref="E3183:F3183"/>
    <mergeCell ref="E3200:F3200"/>
    <mergeCell ref="E3161:F3161"/>
    <mergeCell ref="E3127:F3127"/>
    <mergeCell ref="E3188:F3188"/>
    <mergeCell ref="E3152:F3152"/>
    <mergeCell ref="E3144:F3144"/>
    <mergeCell ref="E3145:F3145"/>
    <mergeCell ref="E3142:F3142"/>
    <mergeCell ref="E3150:F3150"/>
    <mergeCell ref="E3156:F3156"/>
    <mergeCell ref="E3095:F3095"/>
    <mergeCell ref="E3126:F3126"/>
    <mergeCell ref="E3089:F3089"/>
    <mergeCell ref="E3101:F3101"/>
    <mergeCell ref="E3117:F3117"/>
    <mergeCell ref="E3103:F3103"/>
    <mergeCell ref="E3131:F3131"/>
    <mergeCell ref="E3115:F3115"/>
    <mergeCell ref="E3120:F3120"/>
    <mergeCell ref="E2885:F2885"/>
    <mergeCell ref="E3041:F3041"/>
    <mergeCell ref="E3053:F3053"/>
    <mergeCell ref="E3060:F3060"/>
    <mergeCell ref="E3048:F3048"/>
    <mergeCell ref="E3051:F3051"/>
    <mergeCell ref="E3054:F3054"/>
    <mergeCell ref="E2901:F2901"/>
    <mergeCell ref="E2887:F2887"/>
    <mergeCell ref="E2900:F2900"/>
    <mergeCell ref="E2955:F2955"/>
    <mergeCell ref="E2891:F2891"/>
    <mergeCell ref="E2896:F2896"/>
    <mergeCell ref="E2897:F2897"/>
    <mergeCell ref="E2890:F2890"/>
    <mergeCell ref="E2895:F2895"/>
    <mergeCell ref="E2892:F2892"/>
    <mergeCell ref="E2893:F2893"/>
    <mergeCell ref="E2894:F2894"/>
    <mergeCell ref="E2888:F2888"/>
    <mergeCell ref="E2886:F2886"/>
    <mergeCell ref="E2774:F2774"/>
    <mergeCell ref="E2769:F2769"/>
    <mergeCell ref="E2775:F2775"/>
    <mergeCell ref="E2770:F2770"/>
    <mergeCell ref="E2772:F2772"/>
    <mergeCell ref="E2781:F2781"/>
    <mergeCell ref="E2779:F2779"/>
    <mergeCell ref="E2883:F2883"/>
    <mergeCell ref="E2721:F2721"/>
    <mergeCell ref="E2763:F2763"/>
    <mergeCell ref="E858:F858"/>
    <mergeCell ref="E2745:F2745"/>
    <mergeCell ref="E2733:F2733"/>
    <mergeCell ref="E2735:F2735"/>
    <mergeCell ref="E2736:F2736"/>
    <mergeCell ref="E2738:F2738"/>
    <mergeCell ref="E1369:F1369"/>
    <mergeCell ref="E859:F859"/>
    <mergeCell ref="E2723:F2723"/>
    <mergeCell ref="E2718:F2718"/>
    <mergeCell ref="E2698:F2698"/>
    <mergeCell ref="E2710:F2710"/>
    <mergeCell ref="E2706:F2706"/>
    <mergeCell ref="E2705:F2705"/>
    <mergeCell ref="E2707:F2707"/>
    <mergeCell ref="E2714:F2714"/>
    <mergeCell ref="E2713:F2713"/>
    <mergeCell ref="E2709:F2709"/>
    <mergeCell ref="E2603:F2603"/>
    <mergeCell ref="E2608:F2608"/>
    <mergeCell ref="E2630:F2630"/>
    <mergeCell ref="E2680:F2680"/>
    <mergeCell ref="E2666:F2666"/>
    <mergeCell ref="E2675:F2675"/>
    <mergeCell ref="E2623:F2623"/>
    <mergeCell ref="E2624:F2624"/>
    <mergeCell ref="E2653:F2653"/>
    <mergeCell ref="E2651:F2651"/>
    <mergeCell ref="E2686:F2686"/>
    <mergeCell ref="E2689:F2689"/>
    <mergeCell ref="E2685:F2685"/>
    <mergeCell ref="E2348:F2348"/>
    <mergeCell ref="E2350:F2350"/>
    <mergeCell ref="E2612:F2612"/>
    <mergeCell ref="E2611:F2611"/>
    <mergeCell ref="E2349:F2349"/>
    <mergeCell ref="E2470:F2470"/>
    <mergeCell ref="E2356:F2356"/>
    <mergeCell ref="E2730:F2730"/>
    <mergeCell ref="E2729:F2729"/>
    <mergeCell ref="E2384:F2384"/>
    <mergeCell ref="E2556:F2556"/>
    <mergeCell ref="E2475:F2475"/>
    <mergeCell ref="E2474:F2474"/>
    <mergeCell ref="E2469:F2469"/>
    <mergeCell ref="E2472:F2472"/>
    <mergeCell ref="E2473:F2473"/>
    <mergeCell ref="E2679:F2679"/>
    <mergeCell ref="E2238:F2238"/>
    <mergeCell ref="E2232:F2232"/>
    <mergeCell ref="E2345:F2345"/>
    <mergeCell ref="E2338:F2338"/>
    <mergeCell ref="E2239:F2239"/>
    <mergeCell ref="E2244:F2244"/>
    <mergeCell ref="E2241:F2241"/>
    <mergeCell ref="E2242:F2242"/>
    <mergeCell ref="E2252:F2252"/>
    <mergeCell ref="E2341:F2341"/>
    <mergeCell ref="E2134:F2134"/>
    <mergeCell ref="E1918:F1918"/>
    <mergeCell ref="E1963:F1963"/>
    <mergeCell ref="E1964:F1964"/>
    <mergeCell ref="E1919:F1919"/>
    <mergeCell ref="E1920:F1920"/>
    <mergeCell ref="E2020:F2020"/>
    <mergeCell ref="E2047:F2047"/>
    <mergeCell ref="E2099:F2099"/>
    <mergeCell ref="E2007:F2007"/>
    <mergeCell ref="E1884:F1884"/>
    <mergeCell ref="E1900:F1900"/>
    <mergeCell ref="E1889:F1889"/>
    <mergeCell ref="E1891:F1891"/>
    <mergeCell ref="E1890:F1890"/>
    <mergeCell ref="E1892:F1892"/>
    <mergeCell ref="E1897:F1897"/>
    <mergeCell ref="E1898:F1898"/>
    <mergeCell ref="E1817:F1817"/>
    <mergeCell ref="E1846:F1846"/>
    <mergeCell ref="E1881:F1881"/>
    <mergeCell ref="E1882:F1882"/>
    <mergeCell ref="E1870:F1870"/>
    <mergeCell ref="E1869:F1869"/>
    <mergeCell ref="E1828:F1828"/>
    <mergeCell ref="E1871:F1871"/>
    <mergeCell ref="E1852:F1852"/>
    <mergeCell ref="E1829:F1829"/>
    <mergeCell ref="E1866:F1866"/>
    <mergeCell ref="E1868:F1868"/>
    <mergeCell ref="E1867:F1867"/>
    <mergeCell ref="E1824:F1824"/>
    <mergeCell ref="E2097:F2097"/>
    <mergeCell ref="E4094:F4094"/>
    <mergeCell ref="E4089:F4089"/>
    <mergeCell ref="E4106:F4106"/>
    <mergeCell ref="E4102:F4102"/>
    <mergeCell ref="E4090:F4090"/>
    <mergeCell ref="E4100:F4100"/>
    <mergeCell ref="E4096:F4096"/>
    <mergeCell ref="E4098:F4098"/>
    <mergeCell ref="E4095:F4095"/>
    <mergeCell ref="E2094:F2094"/>
    <mergeCell ref="E2095:F2095"/>
    <mergeCell ref="E2013:F2013"/>
    <mergeCell ref="E1924:F1924"/>
    <mergeCell ref="E2016:F2016"/>
    <mergeCell ref="E2015:F2015"/>
    <mergeCell ref="E2014:F2014"/>
    <mergeCell ref="E1932:F1932"/>
    <mergeCell ref="E2009:F2009"/>
    <mergeCell ref="E2008:F2008"/>
    <mergeCell ref="E2212:F2212"/>
    <mergeCell ref="E2215:F2215"/>
    <mergeCell ref="E2139:F2139"/>
    <mergeCell ref="E2343:F2343"/>
    <mergeCell ref="E2337:F2337"/>
    <mergeCell ref="E2168:F2168"/>
    <mergeCell ref="E2193:F2193"/>
    <mergeCell ref="E2163:F2163"/>
    <mergeCell ref="E2165:F2165"/>
    <mergeCell ref="E2172:F2172"/>
    <mergeCell ref="E1904:F1904"/>
    <mergeCell ref="E2344:F2344"/>
    <mergeCell ref="E2194:F2194"/>
    <mergeCell ref="E2196:F2196"/>
    <mergeCell ref="E2197:F2197"/>
    <mergeCell ref="E2210:F2210"/>
    <mergeCell ref="E2198:F2198"/>
    <mergeCell ref="E2259:F2259"/>
    <mergeCell ref="E2260:F2260"/>
    <mergeCell ref="E2267:F2267"/>
    <mergeCell ref="E1922:F1922"/>
    <mergeCell ref="E2019:F2019"/>
    <mergeCell ref="E2063:F2063"/>
    <mergeCell ref="E2066:F2066"/>
    <mergeCell ref="E2010:F2010"/>
    <mergeCell ref="E1937:F1937"/>
    <mergeCell ref="E1938:F1938"/>
    <mergeCell ref="E1939:F1939"/>
    <mergeCell ref="E1933:F1933"/>
    <mergeCell ref="E1864:F1864"/>
    <mergeCell ref="E1879:F1879"/>
    <mergeCell ref="E1880:F1880"/>
    <mergeCell ref="E1883:F1883"/>
    <mergeCell ref="E1873:F1873"/>
    <mergeCell ref="E1875:F1875"/>
    <mergeCell ref="E1876:F1876"/>
    <mergeCell ref="E1874:F1874"/>
    <mergeCell ref="E1878:F1878"/>
    <mergeCell ref="E1877:F1877"/>
    <mergeCell ref="E1818:F1818"/>
    <mergeCell ref="E1847:F1847"/>
    <mergeCell ref="E2166:F2166"/>
    <mergeCell ref="E2672:F2672"/>
    <mergeCell ref="E2167:F2167"/>
    <mergeCell ref="E2224:F2224"/>
    <mergeCell ref="E2346:F2346"/>
    <mergeCell ref="E2243:F2243"/>
    <mergeCell ref="E2195:F2195"/>
    <mergeCell ref="E2235:F2235"/>
    <mergeCell ref="E1361:F1361"/>
    <mergeCell ref="E1356:F1356"/>
    <mergeCell ref="E1321:F1321"/>
    <mergeCell ref="E1359:F1359"/>
    <mergeCell ref="E1354:F1354"/>
    <mergeCell ref="E1357:F1357"/>
    <mergeCell ref="E1333:F1333"/>
    <mergeCell ref="E1335:F1335"/>
    <mergeCell ref="E1345:F1345"/>
    <mergeCell ref="E1337:F1337"/>
    <mergeCell ref="E1218:F1218"/>
    <mergeCell ref="E1225:F1225"/>
    <mergeCell ref="E1227:F1227"/>
    <mergeCell ref="E1290:F1290"/>
    <mergeCell ref="E1231:F1231"/>
    <mergeCell ref="E1230:F1230"/>
    <mergeCell ref="E1220:F1220"/>
    <mergeCell ref="E1224:F1224"/>
    <mergeCell ref="E1287:F1287"/>
    <mergeCell ref="E1219:F1219"/>
    <mergeCell ref="E1365:F1365"/>
    <mergeCell ref="E1223:F1223"/>
    <mergeCell ref="E1362:F1362"/>
    <mergeCell ref="E1860:F1860"/>
    <mergeCell ref="E1822:F1822"/>
    <mergeCell ref="E1823:F1823"/>
    <mergeCell ref="E1837:F1837"/>
    <mergeCell ref="E1830:F1830"/>
    <mergeCell ref="E1843:F1843"/>
    <mergeCell ref="E1844:F1844"/>
    <mergeCell ref="E1132:F1132"/>
    <mergeCell ref="E1363:F1363"/>
    <mergeCell ref="E1364:F1364"/>
    <mergeCell ref="E1325:F1325"/>
    <mergeCell ref="E1326:F1326"/>
    <mergeCell ref="E1336:F1336"/>
    <mergeCell ref="E1339:F1339"/>
    <mergeCell ref="E1358:F1358"/>
    <mergeCell ref="E1353:F1353"/>
    <mergeCell ref="E1355:F1355"/>
    <mergeCell ref="E1087:F1087"/>
    <mergeCell ref="E1133:F1133"/>
    <mergeCell ref="E1103:F1103"/>
    <mergeCell ref="E1109:F1109"/>
    <mergeCell ref="E1118:F1118"/>
    <mergeCell ref="E1117:F1117"/>
    <mergeCell ref="E1112:F1112"/>
    <mergeCell ref="E1108:F1108"/>
    <mergeCell ref="E1119:F1119"/>
    <mergeCell ref="E1110:F1110"/>
    <mergeCell ref="E1062:F1062"/>
    <mergeCell ref="E1056:F1056"/>
    <mergeCell ref="E1006:F1006"/>
    <mergeCell ref="E1080:F1080"/>
    <mergeCell ref="E877:F877"/>
    <mergeCell ref="E879:F879"/>
    <mergeCell ref="E881:F881"/>
    <mergeCell ref="E883:F883"/>
    <mergeCell ref="E1150:F1150"/>
    <mergeCell ref="E1156:F1156"/>
    <mergeCell ref="E894:F894"/>
    <mergeCell ref="E898:F898"/>
    <mergeCell ref="E901:F901"/>
    <mergeCell ref="E908:F908"/>
    <mergeCell ref="E902:F902"/>
    <mergeCell ref="E903:F903"/>
    <mergeCell ref="E905:F905"/>
    <mergeCell ref="E906:F906"/>
    <mergeCell ref="E832:F832"/>
    <mergeCell ref="E824:F824"/>
    <mergeCell ref="E829:F829"/>
    <mergeCell ref="E738:F738"/>
    <mergeCell ref="E820:F820"/>
    <mergeCell ref="E815:F815"/>
    <mergeCell ref="E739:F739"/>
    <mergeCell ref="E804:F804"/>
    <mergeCell ref="E805:F805"/>
    <mergeCell ref="E744:F744"/>
    <mergeCell ref="E833:F833"/>
    <mergeCell ref="E969:F969"/>
    <mergeCell ref="E871:F871"/>
    <mergeCell ref="E880:F880"/>
    <mergeCell ref="E835:F835"/>
    <mergeCell ref="E837:F837"/>
    <mergeCell ref="E946:F946"/>
    <mergeCell ref="E950:F950"/>
    <mergeCell ref="E939:F939"/>
    <mergeCell ref="E915:F915"/>
    <mergeCell ref="E838:F838"/>
    <mergeCell ref="E909:F909"/>
    <mergeCell ref="E989:F989"/>
    <mergeCell ref="E990:F990"/>
    <mergeCell ref="E885:F885"/>
    <mergeCell ref="E888:F888"/>
    <mergeCell ref="E876:F876"/>
    <mergeCell ref="E882:F882"/>
    <mergeCell ref="E884:F884"/>
    <mergeCell ref="E887:F887"/>
    <mergeCell ref="E1199:F1199"/>
    <mergeCell ref="E1195:F1195"/>
    <mergeCell ref="E1197:F1197"/>
    <mergeCell ref="E1198:F1198"/>
    <mergeCell ref="E573:F573"/>
    <mergeCell ref="E575:F575"/>
    <mergeCell ref="E577:F577"/>
    <mergeCell ref="E668:F668"/>
    <mergeCell ref="E574:F574"/>
    <mergeCell ref="E588:F588"/>
    <mergeCell ref="E604:F604"/>
    <mergeCell ref="E586:F586"/>
    <mergeCell ref="E581:F581"/>
    <mergeCell ref="E585:F585"/>
    <mergeCell ref="E572:F572"/>
    <mergeCell ref="E568:F568"/>
    <mergeCell ref="E834:F834"/>
    <mergeCell ref="E831:F831"/>
    <mergeCell ref="E827:F827"/>
    <mergeCell ref="E681:F681"/>
    <mergeCell ref="E670:F670"/>
    <mergeCell ref="E709:F709"/>
    <mergeCell ref="E707:F707"/>
    <mergeCell ref="E569:F569"/>
    <mergeCell ref="E571:F571"/>
    <mergeCell ref="E558:F558"/>
    <mergeCell ref="E560:F560"/>
    <mergeCell ref="E562:F562"/>
    <mergeCell ref="E563:F563"/>
    <mergeCell ref="E566:F566"/>
    <mergeCell ref="E570:F570"/>
    <mergeCell ref="E557:F557"/>
    <mergeCell ref="E561:F561"/>
    <mergeCell ref="E567:F567"/>
    <mergeCell ref="E564:F564"/>
    <mergeCell ref="E487:F487"/>
    <mergeCell ref="E489:F489"/>
    <mergeCell ref="E479:F479"/>
    <mergeCell ref="E485:F485"/>
    <mergeCell ref="E484:F484"/>
    <mergeCell ref="E480:F480"/>
    <mergeCell ref="E486:F486"/>
    <mergeCell ref="E481:F481"/>
    <mergeCell ref="E483:F483"/>
    <mergeCell ref="E482:F482"/>
    <mergeCell ref="E538:F538"/>
    <mergeCell ref="E546:F546"/>
    <mergeCell ref="E490:F490"/>
    <mergeCell ref="E488:F488"/>
    <mergeCell ref="E515:F515"/>
    <mergeCell ref="E511:F511"/>
    <mergeCell ref="E500:F500"/>
    <mergeCell ref="E512:F512"/>
    <mergeCell ref="E514:F514"/>
    <mergeCell ref="E501:F501"/>
    <mergeCell ref="E391:F391"/>
    <mergeCell ref="E345:F345"/>
    <mergeCell ref="E362:F362"/>
    <mergeCell ref="E363:F363"/>
    <mergeCell ref="E366:F366"/>
    <mergeCell ref="E355:F355"/>
    <mergeCell ref="E364:F364"/>
    <mergeCell ref="E349:F349"/>
    <mergeCell ref="E350:F350"/>
    <mergeCell ref="E354:F354"/>
    <mergeCell ref="E328:F328"/>
    <mergeCell ref="E331:F331"/>
    <mergeCell ref="E268:F268"/>
    <mergeCell ref="E248:F248"/>
    <mergeCell ref="E255:F255"/>
    <mergeCell ref="E330:F330"/>
    <mergeCell ref="E263:F263"/>
    <mergeCell ref="E256:F256"/>
    <mergeCell ref="E261:F261"/>
    <mergeCell ref="E260:F260"/>
    <mergeCell ref="E267:F267"/>
    <mergeCell ref="E327:F327"/>
    <mergeCell ref="E276:F276"/>
    <mergeCell ref="E279:F279"/>
    <mergeCell ref="E269:F269"/>
    <mergeCell ref="E274:F274"/>
    <mergeCell ref="E273:F273"/>
    <mergeCell ref="E282:F282"/>
    <mergeCell ref="E291:F291"/>
    <mergeCell ref="E284:F284"/>
    <mergeCell ref="E253:F253"/>
    <mergeCell ref="E169:F169"/>
    <mergeCell ref="E249:F249"/>
    <mergeCell ref="E170:F170"/>
    <mergeCell ref="E191:F191"/>
    <mergeCell ref="E182:F182"/>
    <mergeCell ref="E247:F247"/>
    <mergeCell ref="E252:F252"/>
    <mergeCell ref="E200:F200"/>
    <mergeCell ref="E198:F198"/>
    <mergeCell ref="E145:F145"/>
    <mergeCell ref="E171:F171"/>
    <mergeCell ref="E156:F156"/>
    <mergeCell ref="E146:F146"/>
    <mergeCell ref="E152:F152"/>
    <mergeCell ref="E153:F153"/>
    <mergeCell ref="E154:F154"/>
    <mergeCell ref="E155:F155"/>
    <mergeCell ref="E151:F151"/>
    <mergeCell ref="E150:F150"/>
    <mergeCell ref="E250:F250"/>
    <mergeCell ref="E193:F193"/>
    <mergeCell ref="E195:F195"/>
    <mergeCell ref="E160:F160"/>
    <mergeCell ref="E165:F165"/>
    <mergeCell ref="E231:F231"/>
    <mergeCell ref="E167:F167"/>
    <mergeCell ref="E172:F172"/>
    <mergeCell ref="E232:F232"/>
    <mergeCell ref="E166:F166"/>
    <mergeCell ref="E1388:F1388"/>
    <mergeCell ref="E1375:F1375"/>
    <mergeCell ref="E1376:F1376"/>
    <mergeCell ref="E162:F162"/>
    <mergeCell ref="E173:F173"/>
    <mergeCell ref="E183:F183"/>
    <mergeCell ref="E175:F175"/>
    <mergeCell ref="E228:F228"/>
    <mergeCell ref="E230:F230"/>
    <mergeCell ref="E236:F236"/>
    <mergeCell ref="E1400:F1400"/>
    <mergeCell ref="E1405:F1405"/>
    <mergeCell ref="E1399:F1399"/>
    <mergeCell ref="E1396:F1396"/>
    <mergeCell ref="E1404:F1404"/>
    <mergeCell ref="E1398:F1398"/>
    <mergeCell ref="E1403:F1403"/>
    <mergeCell ref="E1397:F1397"/>
    <mergeCell ref="E1292:F1292"/>
    <mergeCell ref="E1288:F1288"/>
    <mergeCell ref="E1303:F1303"/>
    <mergeCell ref="E1289:F1289"/>
    <mergeCell ref="E1296:F1296"/>
    <mergeCell ref="E1184:F1184"/>
    <mergeCell ref="E1196:F1196"/>
    <mergeCell ref="E1187:F1187"/>
    <mergeCell ref="E1191:F1191"/>
    <mergeCell ref="E1194:F1194"/>
    <mergeCell ref="E1188:F1188"/>
    <mergeCell ref="E1185:F1185"/>
    <mergeCell ref="E1190:F1190"/>
    <mergeCell ref="E1189:F1189"/>
    <mergeCell ref="E1186:F1186"/>
    <mergeCell ref="E1153:F1153"/>
    <mergeCell ref="E1214:F1214"/>
    <mergeCell ref="E1201:F1201"/>
    <mergeCell ref="E1210:F1210"/>
    <mergeCell ref="E1213:F1213"/>
    <mergeCell ref="E1205:F1205"/>
    <mergeCell ref="E1207:F1207"/>
    <mergeCell ref="E1208:F1208"/>
    <mergeCell ref="E1204:F1204"/>
    <mergeCell ref="E1193:F1193"/>
    <mergeCell ref="E1179:F1179"/>
    <mergeCell ref="E1175:F1175"/>
    <mergeCell ref="E1168:F1168"/>
    <mergeCell ref="E1172:F1172"/>
    <mergeCell ref="E1176:F1176"/>
    <mergeCell ref="E910:F910"/>
    <mergeCell ref="E892:F892"/>
    <mergeCell ref="E899:F899"/>
    <mergeCell ref="E931:F931"/>
    <mergeCell ref="E907:F907"/>
    <mergeCell ref="E916:F916"/>
    <mergeCell ref="E893:F893"/>
    <mergeCell ref="E926:F926"/>
    <mergeCell ref="E889:F889"/>
    <mergeCell ref="E935:F935"/>
    <mergeCell ref="E942:F942"/>
    <mergeCell ref="E941:F941"/>
    <mergeCell ref="E918:F918"/>
    <mergeCell ref="E933:F933"/>
    <mergeCell ref="E927:F927"/>
    <mergeCell ref="E929:F929"/>
    <mergeCell ref="E934:F934"/>
    <mergeCell ref="E890:F890"/>
    <mergeCell ref="E700:F700"/>
    <mergeCell ref="E701:F701"/>
    <mergeCell ref="E698:F698"/>
    <mergeCell ref="E694:F694"/>
    <mergeCell ref="E730:F730"/>
    <mergeCell ref="E721:F721"/>
    <mergeCell ref="E732:F732"/>
    <mergeCell ref="E733:F733"/>
    <mergeCell ref="E724:F724"/>
    <mergeCell ref="E717:F717"/>
    <mergeCell ref="E705:F705"/>
    <mergeCell ref="E703:F703"/>
    <mergeCell ref="E727:F727"/>
    <mergeCell ref="E722:F722"/>
    <mergeCell ref="E720:F720"/>
    <mergeCell ref="E712:F712"/>
    <mergeCell ref="E704:F704"/>
    <mergeCell ref="E818:F818"/>
    <mergeCell ref="E816:F816"/>
    <mergeCell ref="E662:F662"/>
    <mergeCell ref="E696:F696"/>
    <mergeCell ref="E688:F688"/>
    <mergeCell ref="E714:F714"/>
    <mergeCell ref="E715:F715"/>
    <mergeCell ref="E734:F734"/>
    <mergeCell ref="E736:F736"/>
    <mergeCell ref="E702:F702"/>
    <mergeCell ref="E806:F806"/>
    <mergeCell ref="E808:F808"/>
    <mergeCell ref="E737:F737"/>
    <mergeCell ref="E731:F731"/>
    <mergeCell ref="E742:F742"/>
    <mergeCell ref="E741:F741"/>
    <mergeCell ref="E675:F675"/>
    <mergeCell ref="E667:F667"/>
    <mergeCell ref="E679:F679"/>
    <mergeCell ref="E728:F728"/>
    <mergeCell ref="E708:F708"/>
    <mergeCell ref="E706:F706"/>
    <mergeCell ref="E725:F725"/>
    <mergeCell ref="E710:F710"/>
    <mergeCell ref="E718:F718"/>
    <mergeCell ref="E716:F716"/>
    <mergeCell ref="E699:F699"/>
    <mergeCell ref="E697:F697"/>
    <mergeCell ref="E692:F692"/>
    <mergeCell ref="E695:F695"/>
    <mergeCell ref="E582:F582"/>
    <mergeCell ref="E583:F583"/>
    <mergeCell ref="E627:F627"/>
    <mergeCell ref="E607:F607"/>
    <mergeCell ref="E599:F599"/>
    <mergeCell ref="E600:F600"/>
    <mergeCell ref="E601:F601"/>
    <mergeCell ref="E603:F603"/>
    <mergeCell ref="E584:F584"/>
    <mergeCell ref="E605:F605"/>
    <mergeCell ref="E580:F580"/>
    <mergeCell ref="E540:F540"/>
    <mergeCell ref="E542:F542"/>
    <mergeCell ref="E544:F544"/>
    <mergeCell ref="E545:F545"/>
    <mergeCell ref="E541:F541"/>
    <mergeCell ref="E551:F551"/>
    <mergeCell ref="E552:F552"/>
    <mergeCell ref="E578:F578"/>
    <mergeCell ref="E547:F547"/>
    <mergeCell ref="E579:F579"/>
    <mergeCell ref="E539:F539"/>
    <mergeCell ref="E550:F550"/>
    <mergeCell ref="E548:F548"/>
    <mergeCell ref="E549:F549"/>
    <mergeCell ref="E543:F543"/>
    <mergeCell ref="E553:F553"/>
    <mergeCell ref="E554:F554"/>
    <mergeCell ref="E559:F559"/>
    <mergeCell ref="E556:F556"/>
    <mergeCell ref="E470:F470"/>
    <mergeCell ref="E472:F472"/>
    <mergeCell ref="E471:F471"/>
    <mergeCell ref="E461:F461"/>
    <mergeCell ref="E463:F463"/>
    <mergeCell ref="E462:F462"/>
    <mergeCell ref="E469:F469"/>
    <mergeCell ref="E466:F466"/>
    <mergeCell ref="E465:F465"/>
    <mergeCell ref="E409:F409"/>
    <mergeCell ref="E460:F460"/>
    <mergeCell ref="E418:F418"/>
    <mergeCell ref="E411:F411"/>
    <mergeCell ref="E416:F416"/>
    <mergeCell ref="E429:F429"/>
    <mergeCell ref="E457:F457"/>
    <mergeCell ref="E439:F439"/>
    <mergeCell ref="E434:F434"/>
    <mergeCell ref="E451:F451"/>
    <mergeCell ref="E352:F352"/>
    <mergeCell ref="E361:F361"/>
    <mergeCell ref="E348:F348"/>
    <mergeCell ref="E356:F356"/>
    <mergeCell ref="E141:F141"/>
    <mergeCell ref="E143:F143"/>
    <mergeCell ref="E340:F340"/>
    <mergeCell ref="E339:F339"/>
    <mergeCell ref="E332:F332"/>
    <mergeCell ref="E334:F334"/>
    <mergeCell ref="E336:F336"/>
    <mergeCell ref="E337:F337"/>
    <mergeCell ref="E333:F333"/>
    <mergeCell ref="E335:F335"/>
    <mergeCell ref="E117:F117"/>
    <mergeCell ref="E118:F118"/>
    <mergeCell ref="E158:F158"/>
    <mergeCell ref="E122:F122"/>
    <mergeCell ref="E128:F128"/>
    <mergeCell ref="E126:F126"/>
    <mergeCell ref="E123:F123"/>
    <mergeCell ref="E148:F148"/>
    <mergeCell ref="E119:F119"/>
    <mergeCell ref="E121:F121"/>
    <mergeCell ref="E124:F124"/>
    <mergeCell ref="E137:F137"/>
    <mergeCell ref="E134:F134"/>
    <mergeCell ref="E136:F136"/>
    <mergeCell ref="E120:F120"/>
    <mergeCell ref="E135:F135"/>
    <mergeCell ref="E43:F43"/>
    <mergeCell ref="E49:F49"/>
    <mergeCell ref="E51:F51"/>
    <mergeCell ref="E46:F46"/>
    <mergeCell ref="E47:F47"/>
    <mergeCell ref="E55:F55"/>
    <mergeCell ref="E52:F52"/>
    <mergeCell ref="E53:F53"/>
    <mergeCell ref="E15:F15"/>
    <mergeCell ref="E50:F50"/>
    <mergeCell ref="E45:F45"/>
    <mergeCell ref="E40:F40"/>
    <mergeCell ref="E35:F35"/>
    <mergeCell ref="E42:F42"/>
    <mergeCell ref="E31:F31"/>
    <mergeCell ref="E32:F32"/>
    <mergeCell ref="E25:F25"/>
    <mergeCell ref="E26:F26"/>
    <mergeCell ref="E262:F262"/>
    <mergeCell ref="E41:F41"/>
    <mergeCell ref="E44:F44"/>
    <mergeCell ref="E39:F39"/>
    <mergeCell ref="E115:F115"/>
    <mergeCell ref="E106:F106"/>
    <mergeCell ref="E104:F104"/>
    <mergeCell ref="E99:F99"/>
    <mergeCell ref="E110:F110"/>
    <mergeCell ref="E102:F102"/>
    <mergeCell ref="E886:F886"/>
    <mergeCell ref="E125:F125"/>
    <mergeCell ref="E131:F131"/>
    <mergeCell ref="E229:F229"/>
    <mergeCell ref="E237:F237"/>
    <mergeCell ref="E234:F234"/>
    <mergeCell ref="E318:F318"/>
    <mergeCell ref="E132:F132"/>
    <mergeCell ref="E281:F281"/>
    <mergeCell ref="E845:F845"/>
    <mergeCell ref="E109:F109"/>
    <mergeCell ref="E1419:F1419"/>
    <mergeCell ref="E270:F270"/>
    <mergeCell ref="E265:F265"/>
    <mergeCell ref="E399:F399"/>
    <mergeCell ref="E396:F396"/>
    <mergeCell ref="E397:F397"/>
    <mergeCell ref="E587:F587"/>
    <mergeCell ref="E843:F843"/>
    <mergeCell ref="E850:F850"/>
    <mergeCell ref="E2103:F2103"/>
    <mergeCell ref="E2715:F2715"/>
    <mergeCell ref="E2683:F2683"/>
    <mergeCell ref="E1410:F1410"/>
    <mergeCell ref="E1460:F1460"/>
    <mergeCell ref="E1521:F1521"/>
    <mergeCell ref="E1522:F1522"/>
    <mergeCell ref="E1502:F1502"/>
    <mergeCell ref="E1863:F1863"/>
    <mergeCell ref="E1631:F1631"/>
    <mergeCell ref="E2688:F2688"/>
    <mergeCell ref="E2674:F2674"/>
    <mergeCell ref="E2667:F2667"/>
    <mergeCell ref="E2108:F2108"/>
    <mergeCell ref="E2141:F2141"/>
    <mergeCell ref="E2211:F2211"/>
    <mergeCell ref="E2663:F2663"/>
    <mergeCell ref="E2347:F2347"/>
    <mergeCell ref="E2137:F2137"/>
    <mergeCell ref="E2142:F2142"/>
    <mergeCell ref="E2073:F2073"/>
    <mergeCell ref="E2080:F2080"/>
    <mergeCell ref="E2070:F2070"/>
    <mergeCell ref="E2042:F2042"/>
    <mergeCell ref="E2057:F2057"/>
    <mergeCell ref="E2072:F2072"/>
    <mergeCell ref="E2053:F2053"/>
    <mergeCell ref="E2054:F2054"/>
    <mergeCell ref="E2079:F2079"/>
    <mergeCell ref="E2060:F2060"/>
    <mergeCell ref="E2898:F2898"/>
    <mergeCell ref="E2102:F2102"/>
    <mergeCell ref="E2098:F2098"/>
    <mergeCell ref="E2133:F2133"/>
    <mergeCell ref="E2665:F2665"/>
    <mergeCell ref="E2106:F2106"/>
    <mergeCell ref="E2731:F2731"/>
    <mergeCell ref="E2687:F2687"/>
    <mergeCell ref="E2711:F2711"/>
    <mergeCell ref="E2143:F2143"/>
    <mergeCell ref="E2906:F2906"/>
    <mergeCell ref="E2902:F2902"/>
    <mergeCell ref="E2922:F2922"/>
    <mergeCell ref="E2920:F2920"/>
    <mergeCell ref="E2921:F2921"/>
    <mergeCell ref="E2909:F2909"/>
    <mergeCell ref="E2907:F2907"/>
    <mergeCell ref="E2917:F2917"/>
    <mergeCell ref="E2918:F2918"/>
    <mergeCell ref="E2914:F2914"/>
    <mergeCell ref="E2678:F2678"/>
    <mergeCell ref="E2673:F2673"/>
    <mergeCell ref="E2668:F2668"/>
    <mergeCell ref="E2677:F2677"/>
    <mergeCell ref="E2676:F2676"/>
    <mergeCell ref="E2671:F2671"/>
    <mergeCell ref="E3249:F3249"/>
    <mergeCell ref="E3248:F3248"/>
    <mergeCell ref="E3155:F3155"/>
    <mergeCell ref="E3119:F3119"/>
    <mergeCell ref="E3162:F3162"/>
    <mergeCell ref="E3153:F3153"/>
    <mergeCell ref="E3178:F3178"/>
    <mergeCell ref="E3180:F3180"/>
    <mergeCell ref="E3154:F3154"/>
    <mergeCell ref="E3132:F3132"/>
    <mergeCell ref="E3768:F3768"/>
    <mergeCell ref="E3628:F3628"/>
    <mergeCell ref="E3629:F3629"/>
    <mergeCell ref="E3645:F3645"/>
    <mergeCell ref="E3630:F3630"/>
    <mergeCell ref="E3632:F3632"/>
    <mergeCell ref="E3636:F3636"/>
    <mergeCell ref="E3639:F3639"/>
    <mergeCell ref="E3635:F3635"/>
    <mergeCell ref="E3665:F3665"/>
    <mergeCell ref="E4026:F4026"/>
    <mergeCell ref="E4081:F4081"/>
    <mergeCell ref="E4076:F4076"/>
    <mergeCell ref="E4080:F4080"/>
    <mergeCell ref="E4077:F4077"/>
    <mergeCell ref="E4078:F4078"/>
    <mergeCell ref="E4079:F4079"/>
    <mergeCell ref="E4073:F4073"/>
    <mergeCell ref="E4065:F4065"/>
    <mergeCell ref="E4055:F4055"/>
    <mergeCell ref="E4088:F4088"/>
    <mergeCell ref="E3532:F3532"/>
    <mergeCell ref="E3519:F3519"/>
    <mergeCell ref="E3627:F3627"/>
    <mergeCell ref="E3580:F3580"/>
    <mergeCell ref="E3581:F3581"/>
    <mergeCell ref="E3584:F3584"/>
    <mergeCell ref="E3574:F3574"/>
    <mergeCell ref="E3575:F3575"/>
    <mergeCell ref="E3576:F3576"/>
    <mergeCell ref="E7:F7"/>
    <mergeCell ref="E618:F618"/>
    <mergeCell ref="E591:F591"/>
    <mergeCell ref="E565:F565"/>
    <mergeCell ref="E523:F523"/>
    <mergeCell ref="E602:F602"/>
    <mergeCell ref="E257:F257"/>
    <mergeCell ref="E271:F271"/>
    <mergeCell ref="E272:F272"/>
    <mergeCell ref="E298:F298"/>
    <mergeCell ref="E606:F606"/>
    <mergeCell ref="E608:F608"/>
    <mergeCell ref="E597:F597"/>
    <mergeCell ref="E611:F611"/>
    <mergeCell ref="E589:F589"/>
    <mergeCell ref="E590:F590"/>
    <mergeCell ref="E594:F594"/>
    <mergeCell ref="E598:F598"/>
    <mergeCell ref="E592:F592"/>
    <mergeCell ref="E624:F624"/>
    <mergeCell ref="E593:F593"/>
    <mergeCell ref="E613:F613"/>
    <mergeCell ref="E615:F615"/>
    <mergeCell ref="E614:F614"/>
    <mergeCell ref="E616:F616"/>
    <mergeCell ref="E610:F610"/>
    <mergeCell ref="E609:F609"/>
    <mergeCell ref="E612:F612"/>
    <mergeCell ref="E625:F625"/>
    <mergeCell ref="E655:F655"/>
    <mergeCell ref="E630:F630"/>
    <mergeCell ref="E626:F626"/>
    <mergeCell ref="E628:F628"/>
    <mergeCell ref="E652:F652"/>
    <mergeCell ref="E654:F654"/>
    <mergeCell ref="E629:F629"/>
    <mergeCell ref="E650:F650"/>
    <mergeCell ref="E1414:F1414"/>
    <mergeCell ref="E1426:F1426"/>
    <mergeCell ref="E1424:F1424"/>
    <mergeCell ref="E1421:F1421"/>
    <mergeCell ref="E1416:F1416"/>
    <mergeCell ref="E1418:F1418"/>
    <mergeCell ref="E1420:F1420"/>
    <mergeCell ref="E3106:F3106"/>
    <mergeCell ref="E3107:F3107"/>
    <mergeCell ref="E3112:F3112"/>
    <mergeCell ref="E3108:F3108"/>
    <mergeCell ref="E3113:F3113"/>
    <mergeCell ref="E3114:F3114"/>
    <mergeCell ref="E3116:F3116"/>
    <mergeCell ref="E3118:F3118"/>
    <mergeCell ref="E3105:F3105"/>
    <mergeCell ref="E3158:F3158"/>
    <mergeCell ref="E3157:F3157"/>
    <mergeCell ref="E3187:F3187"/>
    <mergeCell ref="E3172:F3172"/>
    <mergeCell ref="E3173:F3173"/>
    <mergeCell ref="E3176:F3176"/>
    <mergeCell ref="E3177:F3177"/>
    <mergeCell ref="E3170:F3170"/>
    <mergeCell ref="E3171:F3171"/>
    <mergeCell ref="E3266:F3266"/>
    <mergeCell ref="E3316:F3316"/>
    <mergeCell ref="E3309:F3309"/>
    <mergeCell ref="E3310:F3310"/>
    <mergeCell ref="E3271:F3271"/>
    <mergeCell ref="E3303:F3303"/>
    <mergeCell ref="E3267:F3267"/>
    <mergeCell ref="E3293:F3293"/>
    <mergeCell ref="E3278:F3278"/>
    <mergeCell ref="E3282:F3282"/>
    <mergeCell ref="E3124:F3124"/>
    <mergeCell ref="E3070:F3070"/>
    <mergeCell ref="E3072:F3072"/>
    <mergeCell ref="E3081:F3081"/>
    <mergeCell ref="E3079:F3079"/>
    <mergeCell ref="E3084:F3084"/>
    <mergeCell ref="E3073:F3073"/>
    <mergeCell ref="E3076:F3076"/>
    <mergeCell ref="E3077:F3077"/>
    <mergeCell ref="E3096:F3096"/>
    <mergeCell ref="E2899:F2899"/>
    <mergeCell ref="E2903:F2903"/>
    <mergeCell ref="E2925:F2925"/>
    <mergeCell ref="E2919:F2919"/>
    <mergeCell ref="E2911:F2911"/>
    <mergeCell ref="E2912:F2912"/>
    <mergeCell ref="E2923:F2923"/>
    <mergeCell ref="E2908:F2908"/>
    <mergeCell ref="E2904:F2904"/>
    <mergeCell ref="E2905:F2905"/>
    <mergeCell ref="E2661:F2661"/>
    <mergeCell ref="E2249:F2249"/>
    <mergeCell ref="E2174:F2174"/>
    <mergeCell ref="E2230:F2230"/>
    <mergeCell ref="E2233:F2233"/>
    <mergeCell ref="E2657:F2657"/>
    <mergeCell ref="E2637:F2637"/>
    <mergeCell ref="E2240:F2240"/>
    <mergeCell ref="E2258:F2258"/>
    <mergeCell ref="E2268:F2268"/>
    <mergeCell ref="E1430:F1430"/>
    <mergeCell ref="E2157:F2157"/>
    <mergeCell ref="E2140:F2140"/>
    <mergeCell ref="E2138:F2138"/>
    <mergeCell ref="E2024:F2024"/>
    <mergeCell ref="E2096:F2096"/>
    <mergeCell ref="E2035:F2035"/>
    <mergeCell ref="E1444:F1444"/>
    <mergeCell ref="E1437:F1437"/>
    <mergeCell ref="E1438:F1438"/>
    <mergeCell ref="E2748:F2748"/>
    <mergeCell ref="E2722:F2722"/>
    <mergeCell ref="E2716:F2716"/>
    <mergeCell ref="E2726:F2726"/>
    <mergeCell ref="E2728:F2728"/>
    <mergeCell ref="E2719:F2719"/>
    <mergeCell ref="E2725:F2725"/>
    <mergeCell ref="E2727:F2727"/>
    <mergeCell ref="E2732:F2732"/>
    <mergeCell ref="E2734:F2734"/>
    <mergeCell ref="E869:F869"/>
    <mergeCell ref="E1152:F1152"/>
    <mergeCell ref="E872:F872"/>
    <mergeCell ref="E874:F874"/>
    <mergeCell ref="E875:F875"/>
    <mergeCell ref="E873:F873"/>
    <mergeCell ref="E896:F896"/>
    <mergeCell ref="E897:F897"/>
    <mergeCell ref="E922:F922"/>
    <mergeCell ref="E923:F923"/>
    <mergeCell ref="E1181:F1181"/>
    <mergeCell ref="E1163:F1163"/>
    <mergeCell ref="E937:F937"/>
    <mergeCell ref="E264:F264"/>
    <mergeCell ref="E266:F266"/>
    <mergeCell ref="E285:F285"/>
    <mergeCell ref="E289:F289"/>
    <mergeCell ref="E277:F277"/>
    <mergeCell ref="E283:F283"/>
    <mergeCell ref="E278:F278"/>
    <mergeCell ref="E238:F238"/>
    <mergeCell ref="E174:F174"/>
    <mergeCell ref="E233:F233"/>
    <mergeCell ref="E188:F188"/>
    <mergeCell ref="E184:F184"/>
    <mergeCell ref="E176:F176"/>
    <mergeCell ref="E180:F180"/>
    <mergeCell ref="E179:F179"/>
    <mergeCell ref="E194:F194"/>
    <mergeCell ref="E196:F196"/>
    <mergeCell ref="E113:F113"/>
    <mergeCell ref="E114:F114"/>
    <mergeCell ref="E97:F97"/>
    <mergeCell ref="E91:F91"/>
    <mergeCell ref="E93:F93"/>
    <mergeCell ref="E100:F100"/>
    <mergeCell ref="E98:F98"/>
    <mergeCell ref="E92:F92"/>
    <mergeCell ref="E94:F94"/>
    <mergeCell ref="E101:F101"/>
    <mergeCell ref="E85:F85"/>
    <mergeCell ref="E80:F80"/>
    <mergeCell ref="E75:F75"/>
    <mergeCell ref="E71:F71"/>
    <mergeCell ref="E76:F76"/>
    <mergeCell ref="E84:F84"/>
    <mergeCell ref="E72:F72"/>
    <mergeCell ref="E73:F73"/>
    <mergeCell ref="E77:F77"/>
    <mergeCell ref="E82:F82"/>
    <mergeCell ref="E78:F78"/>
    <mergeCell ref="E79:F79"/>
    <mergeCell ref="E34:F34"/>
    <mergeCell ref="E38:F38"/>
    <mergeCell ref="E74:F74"/>
    <mergeCell ref="E54:F54"/>
    <mergeCell ref="E56:F56"/>
    <mergeCell ref="E59:F59"/>
    <mergeCell ref="E57:F57"/>
    <mergeCell ref="E58:F58"/>
    <mergeCell ref="E27:F27"/>
    <mergeCell ref="E28:F28"/>
    <mergeCell ref="E29:F29"/>
    <mergeCell ref="E12:F12"/>
    <mergeCell ref="E13:F13"/>
    <mergeCell ref="E14:F14"/>
    <mergeCell ref="E22:F22"/>
    <mergeCell ref="E18:F18"/>
    <mergeCell ref="E19:F19"/>
    <mergeCell ref="E20:F20"/>
    <mergeCell ref="E30:F30"/>
    <mergeCell ref="E33:F33"/>
    <mergeCell ref="E37:F37"/>
    <mergeCell ref="E61:F61"/>
    <mergeCell ref="E24:F24"/>
    <mergeCell ref="E36:F36"/>
    <mergeCell ref="E2011:F2011"/>
    <mergeCell ref="E2033:F2033"/>
    <mergeCell ref="E67:F67"/>
    <mergeCell ref="E81:F81"/>
    <mergeCell ref="E83:F83"/>
    <mergeCell ref="E86:F86"/>
    <mergeCell ref="E60:F60"/>
    <mergeCell ref="E66:F66"/>
    <mergeCell ref="E8:F8"/>
    <mergeCell ref="E9:F9"/>
    <mergeCell ref="E10:F10"/>
    <mergeCell ref="E11:F11"/>
    <mergeCell ref="E23:F23"/>
    <mergeCell ref="E17:F17"/>
    <mergeCell ref="E16:F16"/>
    <mergeCell ref="E3528:F3528"/>
    <mergeCell ref="E3521:F3521"/>
    <mergeCell ref="E3504:F3504"/>
    <mergeCell ref="E3498:F3498"/>
    <mergeCell ref="E3518:F3518"/>
    <mergeCell ref="E3516:F3516"/>
    <mergeCell ref="E3505:F3505"/>
    <mergeCell ref="E3499:F3499"/>
    <mergeCell ref="E3506:F3506"/>
    <mergeCell ref="E3507:F3507"/>
    <mergeCell ref="E2717:F2717"/>
    <mergeCell ref="E3420:F3420"/>
    <mergeCell ref="E3422:F3422"/>
    <mergeCell ref="E3423:F3423"/>
    <mergeCell ref="E3424:F3424"/>
    <mergeCell ref="E3375:F3375"/>
    <mergeCell ref="E3376:F3376"/>
    <mergeCell ref="E2691:F2691"/>
    <mergeCell ref="E2699:F2699"/>
    <mergeCell ref="E2693:F2693"/>
    <mergeCell ref="E2700:F2700"/>
    <mergeCell ref="E2696:F2696"/>
    <mergeCell ref="E2712:F2712"/>
    <mergeCell ref="E2692:F2692"/>
    <mergeCell ref="E2695:F2695"/>
    <mergeCell ref="E2336:F2336"/>
    <mergeCell ref="E2704:F2704"/>
    <mergeCell ref="E2621:F2621"/>
    <mergeCell ref="E2664:F2664"/>
    <mergeCell ref="E2669:F2669"/>
    <mergeCell ref="E2670:F2670"/>
    <mergeCell ref="E2703:F2703"/>
    <mergeCell ref="E2702:F2702"/>
    <mergeCell ref="E2684:F2684"/>
    <mergeCell ref="E3593:F3593"/>
    <mergeCell ref="E3590:F3590"/>
    <mergeCell ref="E3538:F3538"/>
    <mergeCell ref="E3540:F3540"/>
    <mergeCell ref="E3577:F3577"/>
    <mergeCell ref="E3542:F3542"/>
    <mergeCell ref="E3551:F3551"/>
    <mergeCell ref="E3552:F3552"/>
    <mergeCell ref="E3500:F3500"/>
    <mergeCell ref="E3520:F3520"/>
    <mergeCell ref="E3522:F3522"/>
    <mergeCell ref="E3481:F3481"/>
    <mergeCell ref="E3490:F3490"/>
    <mergeCell ref="E3492:F3492"/>
    <mergeCell ref="E3489:F3489"/>
    <mergeCell ref="E3486:F3486"/>
    <mergeCell ref="E3487:F3487"/>
    <mergeCell ref="E3488:F3488"/>
    <mergeCell ref="E3509:F3509"/>
    <mergeCell ref="E3514:F3514"/>
    <mergeCell ref="E3513:F3513"/>
    <mergeCell ref="E3517:F3517"/>
    <mergeCell ref="E3511:F3511"/>
    <mergeCell ref="E2724:F2724"/>
    <mergeCell ref="E2544:F2544"/>
    <mergeCell ref="E2662:F2662"/>
    <mergeCell ref="E2697:F2697"/>
    <mergeCell ref="E2682:F2682"/>
    <mergeCell ref="E2562:F2562"/>
    <mergeCell ref="E2560:F2560"/>
    <mergeCell ref="E2564:F2564"/>
    <mergeCell ref="E2561:F2561"/>
    <mergeCell ref="E2568:F2568"/>
    <mergeCell ref="E62:F62"/>
    <mergeCell ref="E63:F63"/>
    <mergeCell ref="E64:F64"/>
    <mergeCell ref="E70:F70"/>
    <mergeCell ref="E68:F68"/>
    <mergeCell ref="E69:F69"/>
    <mergeCell ref="E144:F144"/>
    <mergeCell ref="E147:F147"/>
    <mergeCell ref="E142:F142"/>
    <mergeCell ref="E87:F87"/>
    <mergeCell ref="E116:F116"/>
    <mergeCell ref="E103:F103"/>
    <mergeCell ref="E96:F96"/>
    <mergeCell ref="E107:F107"/>
    <mergeCell ref="E105:F105"/>
    <mergeCell ref="E111:F111"/>
    <mergeCell ref="E89:F89"/>
    <mergeCell ref="E140:F140"/>
    <mergeCell ref="E139:F139"/>
    <mergeCell ref="E138:F138"/>
    <mergeCell ref="E133:F133"/>
    <mergeCell ref="E129:F129"/>
    <mergeCell ref="E130:F130"/>
    <mergeCell ref="E95:F95"/>
    <mergeCell ref="E112:F112"/>
    <mergeCell ref="E90:F90"/>
    <mergeCell ref="E159:F159"/>
    <mergeCell ref="E157:F157"/>
    <mergeCell ref="E185:F185"/>
    <mergeCell ref="E186:F186"/>
    <mergeCell ref="E163:F163"/>
    <mergeCell ref="E161:F161"/>
    <mergeCell ref="E181:F181"/>
    <mergeCell ref="E177:F177"/>
    <mergeCell ref="E178:F178"/>
    <mergeCell ref="E164:F164"/>
    <mergeCell ref="E197:F197"/>
    <mergeCell ref="E187:F187"/>
    <mergeCell ref="E190:F190"/>
    <mergeCell ref="E189:F189"/>
    <mergeCell ref="E239:F239"/>
    <mergeCell ref="E199:F199"/>
    <mergeCell ref="E201:F201"/>
    <mergeCell ref="E202:F202"/>
    <mergeCell ref="E203:F203"/>
    <mergeCell ref="E215:F215"/>
    <mergeCell ref="E221:F221"/>
    <mergeCell ref="E204:F204"/>
    <mergeCell ref="E206:F206"/>
    <mergeCell ref="E235:F235"/>
    <mergeCell ref="E227:F227"/>
    <mergeCell ref="E212:F212"/>
    <mergeCell ref="E213:F213"/>
    <mergeCell ref="E214:F214"/>
    <mergeCell ref="E216:F216"/>
    <mergeCell ref="E223:F223"/>
    <mergeCell ref="E226:F226"/>
    <mergeCell ref="E224:F224"/>
    <mergeCell ref="E259:F259"/>
    <mergeCell ref="E240:F240"/>
    <mergeCell ref="E241:F241"/>
    <mergeCell ref="E242:F242"/>
    <mergeCell ref="E243:F243"/>
    <mergeCell ref="E244:F244"/>
    <mergeCell ref="E246:F246"/>
    <mergeCell ref="E254:F254"/>
    <mergeCell ref="E258:F258"/>
    <mergeCell ref="E245:F245"/>
    <mergeCell ref="E208:F208"/>
    <mergeCell ref="E207:F207"/>
    <mergeCell ref="E222:F222"/>
    <mergeCell ref="E217:F217"/>
    <mergeCell ref="E218:F218"/>
    <mergeCell ref="E219:F219"/>
    <mergeCell ref="E220:F220"/>
    <mergeCell ref="E209:F209"/>
    <mergeCell ref="E211:F211"/>
    <mergeCell ref="E210:F210"/>
    <mergeCell ref="E280:F280"/>
    <mergeCell ref="E286:F286"/>
    <mergeCell ref="E299:F299"/>
    <mergeCell ref="E296:F296"/>
    <mergeCell ref="E292:F292"/>
    <mergeCell ref="E297:F297"/>
    <mergeCell ref="E290:F290"/>
    <mergeCell ref="E293:F293"/>
    <mergeCell ref="E287:F287"/>
    <mergeCell ref="E288:F288"/>
    <mergeCell ref="E306:F306"/>
    <mergeCell ref="E304:F304"/>
    <mergeCell ref="E294:F294"/>
    <mergeCell ref="E305:F305"/>
    <mergeCell ref="E303:F303"/>
    <mergeCell ref="E301:F301"/>
    <mergeCell ref="E295:F295"/>
    <mergeCell ref="E302:F302"/>
    <mergeCell ref="E300:F300"/>
    <mergeCell ref="E313:F313"/>
    <mergeCell ref="E317:F317"/>
    <mergeCell ref="E311:F311"/>
    <mergeCell ref="E314:F314"/>
    <mergeCell ref="E316:F316"/>
    <mergeCell ref="E315:F315"/>
    <mergeCell ref="E308:F308"/>
    <mergeCell ref="E312:F312"/>
    <mergeCell ref="E310:F310"/>
    <mergeCell ref="E307:F307"/>
    <mergeCell ref="E321:F321"/>
    <mergeCell ref="E319:F319"/>
    <mergeCell ref="E320:F320"/>
    <mergeCell ref="E323:F323"/>
    <mergeCell ref="E322:F322"/>
    <mergeCell ref="E329:F329"/>
    <mergeCell ref="E343:F343"/>
    <mergeCell ref="E347:F347"/>
    <mergeCell ref="E351:F351"/>
    <mergeCell ref="E341:F341"/>
    <mergeCell ref="E342:F342"/>
    <mergeCell ref="E344:F344"/>
    <mergeCell ref="E338:F338"/>
    <mergeCell ref="E346:F346"/>
    <mergeCell ref="E325:F325"/>
    <mergeCell ref="E324:F324"/>
    <mergeCell ref="E383:F383"/>
    <mergeCell ref="E385:F385"/>
    <mergeCell ref="E384:F384"/>
    <mergeCell ref="E359:F359"/>
    <mergeCell ref="E358:F358"/>
    <mergeCell ref="E360:F360"/>
    <mergeCell ref="E357:F357"/>
    <mergeCell ref="E365:F365"/>
    <mergeCell ref="E368:F368"/>
    <mergeCell ref="E371:F371"/>
    <mergeCell ref="E373:F373"/>
    <mergeCell ref="E367:F367"/>
    <mergeCell ref="E370:F370"/>
    <mergeCell ref="E372:F372"/>
    <mergeCell ref="E369:F369"/>
    <mergeCell ref="E375:F375"/>
    <mergeCell ref="E401:F401"/>
    <mergeCell ref="E404:F404"/>
    <mergeCell ref="E386:F386"/>
    <mergeCell ref="E380:F380"/>
    <mergeCell ref="E388:F388"/>
    <mergeCell ref="E390:F390"/>
    <mergeCell ref="E393:F393"/>
    <mergeCell ref="E389:F389"/>
    <mergeCell ref="E387:F387"/>
    <mergeCell ref="E392:F392"/>
    <mergeCell ref="E403:F403"/>
    <mergeCell ref="E408:F408"/>
    <mergeCell ref="E407:F407"/>
    <mergeCell ref="E394:F394"/>
    <mergeCell ref="E405:F405"/>
    <mergeCell ref="E395:F395"/>
    <mergeCell ref="E400:F400"/>
    <mergeCell ref="E410:F410"/>
    <mergeCell ref="E412:F412"/>
    <mergeCell ref="E374:F374"/>
    <mergeCell ref="E379:F379"/>
    <mergeCell ref="E378:F378"/>
    <mergeCell ref="E377:F377"/>
    <mergeCell ref="E381:F381"/>
    <mergeCell ref="E382:F382"/>
    <mergeCell ref="E398:F398"/>
    <mergeCell ref="E406:F406"/>
    <mergeCell ref="E420:F420"/>
    <mergeCell ref="E413:F413"/>
    <mergeCell ref="E421:F421"/>
    <mergeCell ref="E415:F415"/>
    <mergeCell ref="E417:F417"/>
    <mergeCell ref="E414:F414"/>
    <mergeCell ref="E419:F419"/>
    <mergeCell ref="E424:F424"/>
    <mergeCell ref="E428:F428"/>
    <mergeCell ref="E422:F422"/>
    <mergeCell ref="E435:F435"/>
    <mergeCell ref="E432:F432"/>
    <mergeCell ref="E433:F433"/>
    <mergeCell ref="E423:F423"/>
    <mergeCell ref="E455:F455"/>
    <mergeCell ref="E443:F443"/>
    <mergeCell ref="E492:F492"/>
    <mergeCell ref="E456:F456"/>
    <mergeCell ref="E444:F444"/>
    <mergeCell ref="E446:F446"/>
    <mergeCell ref="E464:F464"/>
    <mergeCell ref="E450:F450"/>
    <mergeCell ref="E447:F447"/>
    <mergeCell ref="E478:F478"/>
    <mergeCell ref="E452:F452"/>
    <mergeCell ref="E445:F445"/>
    <mergeCell ref="E441:F441"/>
    <mergeCell ref="E438:F438"/>
    <mergeCell ref="E442:F442"/>
    <mergeCell ref="E440:F440"/>
    <mergeCell ref="E425:F425"/>
    <mergeCell ref="E426:F426"/>
    <mergeCell ref="E431:F431"/>
    <mergeCell ref="E437:F437"/>
    <mergeCell ref="E430:F430"/>
    <mergeCell ref="E436:F436"/>
    <mergeCell ref="E458:F458"/>
    <mergeCell ref="E510:F510"/>
    <mergeCell ref="E502:F502"/>
    <mergeCell ref="E503:F503"/>
    <mergeCell ref="E508:F508"/>
    <mergeCell ref="E507:F507"/>
    <mergeCell ref="E476:F476"/>
    <mergeCell ref="E468:F468"/>
    <mergeCell ref="E474:F474"/>
    <mergeCell ref="E477:F477"/>
    <mergeCell ref="E496:F496"/>
    <mergeCell ref="E499:F499"/>
    <mergeCell ref="E448:F448"/>
    <mergeCell ref="E454:F454"/>
    <mergeCell ref="E495:F495"/>
    <mergeCell ref="E498:F498"/>
    <mergeCell ref="E475:F475"/>
    <mergeCell ref="E453:F453"/>
    <mergeCell ref="E459:F459"/>
    <mergeCell ref="E467:F467"/>
    <mergeCell ref="E532:F532"/>
    <mergeCell ref="E530:F530"/>
    <mergeCell ref="E527:F527"/>
    <mergeCell ref="E491:F491"/>
    <mergeCell ref="E509:F509"/>
    <mergeCell ref="E504:F504"/>
    <mergeCell ref="E506:F506"/>
    <mergeCell ref="E505:F505"/>
    <mergeCell ref="E497:F497"/>
    <mergeCell ref="E494:F494"/>
    <mergeCell ref="E516:F516"/>
    <mergeCell ref="E517:F517"/>
    <mergeCell ref="E519:F519"/>
    <mergeCell ref="E526:F526"/>
    <mergeCell ref="E518:F518"/>
    <mergeCell ref="E524:F524"/>
    <mergeCell ref="E521:F521"/>
    <mergeCell ref="E525:F525"/>
    <mergeCell ref="E536:F536"/>
    <mergeCell ref="E520:F520"/>
    <mergeCell ref="E522:F522"/>
    <mergeCell ref="E596:F596"/>
    <mergeCell ref="E537:F537"/>
    <mergeCell ref="E534:F534"/>
    <mergeCell ref="E528:F528"/>
    <mergeCell ref="E529:F529"/>
    <mergeCell ref="E535:F535"/>
    <mergeCell ref="E531:F531"/>
    <mergeCell ref="E621:F621"/>
    <mergeCell ref="E617:F617"/>
    <mergeCell ref="E620:F620"/>
    <mergeCell ref="E623:F623"/>
    <mergeCell ref="E619:F619"/>
    <mergeCell ref="E690:F690"/>
    <mergeCell ref="E631:F631"/>
    <mergeCell ref="E633:F633"/>
    <mergeCell ref="E673:F673"/>
    <mergeCell ref="E674:F674"/>
    <mergeCell ref="E665:F665"/>
    <mergeCell ref="E671:F671"/>
    <mergeCell ref="E639:F639"/>
    <mergeCell ref="E643:F643"/>
    <mergeCell ref="E672:F672"/>
    <mergeCell ref="E638:F638"/>
    <mergeCell ref="E640:F640"/>
    <mergeCell ref="E637:F637"/>
    <mergeCell ref="E664:F664"/>
    <mergeCell ref="E661:F661"/>
    <mergeCell ref="E657:F657"/>
    <mergeCell ref="E658:F658"/>
    <mergeCell ref="E659:F659"/>
    <mergeCell ref="E656:F656"/>
    <mergeCell ref="E632:F632"/>
    <mergeCell ref="E634:F634"/>
    <mergeCell ref="E635:F635"/>
    <mergeCell ref="E636:F636"/>
    <mergeCell ref="E648:F648"/>
    <mergeCell ref="E647:F647"/>
    <mergeCell ref="E645:F645"/>
    <mergeCell ref="E642:F642"/>
    <mergeCell ref="E644:F644"/>
    <mergeCell ref="E646:F646"/>
    <mergeCell ref="E649:F649"/>
    <mergeCell ref="E651:F651"/>
    <mergeCell ref="E828:F828"/>
    <mergeCell ref="E817:F817"/>
    <mergeCell ref="E813:F813"/>
    <mergeCell ref="E653:F653"/>
    <mergeCell ref="E726:F726"/>
    <mergeCell ref="E693:F693"/>
    <mergeCell ref="E676:F676"/>
    <mergeCell ref="E677:F677"/>
    <mergeCell ref="E663:F663"/>
    <mergeCell ref="E666:F666"/>
    <mergeCell ref="E669:F669"/>
    <mergeCell ref="E1433:F1433"/>
    <mergeCell ref="E1429:F1429"/>
    <mergeCell ref="E1431:F1431"/>
    <mergeCell ref="E1432:F1432"/>
    <mergeCell ref="E678:F678"/>
    <mergeCell ref="E719:F719"/>
    <mergeCell ref="E1161:F1161"/>
    <mergeCell ref="E680:F680"/>
    <mergeCell ref="E684:F684"/>
    <mergeCell ref="E685:F685"/>
    <mergeCell ref="E1229:F1229"/>
    <mergeCell ref="E1182:F1182"/>
    <mergeCell ref="E1160:F1160"/>
    <mergeCell ref="E1166:F1166"/>
    <mergeCell ref="E1149:F1149"/>
    <mergeCell ref="E1151:F1151"/>
    <mergeCell ref="E1174:F1174"/>
    <mergeCell ref="E812:F812"/>
    <mergeCell ref="E682:F682"/>
    <mergeCell ref="E683:F683"/>
    <mergeCell ref="E687:F687"/>
    <mergeCell ref="E686:F686"/>
    <mergeCell ref="E809:F809"/>
    <mergeCell ref="E803:F803"/>
    <mergeCell ref="E802:F802"/>
    <mergeCell ref="E801:F801"/>
    <mergeCell ref="E774:F774"/>
    <mergeCell ref="E823:F823"/>
    <mergeCell ref="E819:F819"/>
    <mergeCell ref="E821:F821"/>
    <mergeCell ref="E822:F822"/>
    <mergeCell ref="E691:F691"/>
    <mergeCell ref="E729:F729"/>
    <mergeCell ref="E735:F735"/>
    <mergeCell ref="E811:F811"/>
    <mergeCell ref="E793:F793"/>
    <mergeCell ref="E711:F711"/>
    <mergeCell ref="E800:F800"/>
    <mergeCell ref="E745:F745"/>
    <mergeCell ref="E723:F723"/>
    <mergeCell ref="E740:F740"/>
    <mergeCell ref="E867:F867"/>
    <mergeCell ref="E840:F840"/>
    <mergeCell ref="E836:F836"/>
    <mergeCell ref="E825:F825"/>
    <mergeCell ref="E830:F830"/>
    <mergeCell ref="E853:F853"/>
    <mergeCell ref="E856:F856"/>
    <mergeCell ref="E855:F855"/>
    <mergeCell ref="E863:F863"/>
    <mergeCell ref="E866:F866"/>
    <mergeCell ref="E862:F862"/>
    <mergeCell ref="E864:F864"/>
    <mergeCell ref="E865:F865"/>
    <mergeCell ref="E848:F848"/>
    <mergeCell ref="E857:F857"/>
    <mergeCell ref="E851:F851"/>
    <mergeCell ref="E852:F852"/>
    <mergeCell ref="E854:F854"/>
    <mergeCell ref="E849:F849"/>
    <mergeCell ref="E860:F860"/>
    <mergeCell ref="E1148:F1148"/>
    <mergeCell ref="E981:F981"/>
    <mergeCell ref="E1091:F1091"/>
    <mergeCell ref="E1094:F1094"/>
    <mergeCell ref="E1147:F1147"/>
    <mergeCell ref="E996:F996"/>
    <mergeCell ref="E997:F997"/>
    <mergeCell ref="E1096:F1096"/>
    <mergeCell ref="E1003:F1003"/>
    <mergeCell ref="E1060:F1060"/>
    <mergeCell ref="E1144:F1144"/>
    <mergeCell ref="E925:F925"/>
    <mergeCell ref="E987:F987"/>
    <mergeCell ref="E980:F980"/>
    <mergeCell ref="E947:F947"/>
    <mergeCell ref="E940:F940"/>
    <mergeCell ref="E944:F944"/>
    <mergeCell ref="E948:F948"/>
    <mergeCell ref="E953:F953"/>
    <mergeCell ref="E952:F952"/>
    <mergeCell ref="E743:F743"/>
    <mergeCell ref="E861:F861"/>
    <mergeCell ref="E810:F810"/>
    <mergeCell ref="E842:F842"/>
    <mergeCell ref="E826:F826"/>
    <mergeCell ref="E844:F844"/>
    <mergeCell ref="E839:F839"/>
    <mergeCell ref="E846:F846"/>
    <mergeCell ref="E847:F847"/>
    <mergeCell ref="E814:F814"/>
    <mergeCell ref="E1145:F1145"/>
    <mergeCell ref="E993:F993"/>
    <mergeCell ref="E998:F998"/>
    <mergeCell ref="E991:F991"/>
    <mergeCell ref="E994:F994"/>
    <mergeCell ref="E999:F999"/>
    <mergeCell ref="E1135:F1135"/>
    <mergeCell ref="E1066:F1066"/>
    <mergeCell ref="E1002:F1002"/>
    <mergeCell ref="E1016:F1016"/>
    <mergeCell ref="E1000:F1000"/>
    <mergeCell ref="E995:F995"/>
    <mergeCell ref="E895:F895"/>
    <mergeCell ref="E924:F924"/>
    <mergeCell ref="E970:F970"/>
    <mergeCell ref="E964:F964"/>
    <mergeCell ref="E911:F911"/>
    <mergeCell ref="E912:F912"/>
    <mergeCell ref="E928:F928"/>
    <mergeCell ref="E921:F921"/>
    <mergeCell ref="E913:F913"/>
    <mergeCell ref="E959:F959"/>
    <mergeCell ref="E945:F945"/>
    <mergeCell ref="E1001:F1001"/>
    <mergeCell ref="E971:F971"/>
    <mergeCell ref="E958:F958"/>
    <mergeCell ref="E963:F963"/>
    <mergeCell ref="E966:F966"/>
    <mergeCell ref="E967:F967"/>
    <mergeCell ref="E979:F979"/>
    <mergeCell ref="E978:F978"/>
    <mergeCell ref="E965:F965"/>
    <mergeCell ref="E988:F988"/>
    <mergeCell ref="E985:F985"/>
    <mergeCell ref="E986:F986"/>
    <mergeCell ref="E976:F976"/>
    <mergeCell ref="E982:F982"/>
    <mergeCell ref="E984:F984"/>
    <mergeCell ref="E983:F983"/>
    <mergeCell ref="E968:F968"/>
    <mergeCell ref="E914:F914"/>
    <mergeCell ref="E919:F919"/>
    <mergeCell ref="E932:F932"/>
    <mergeCell ref="E956:F956"/>
    <mergeCell ref="E920:F920"/>
    <mergeCell ref="E936:F936"/>
    <mergeCell ref="E938:F938"/>
    <mergeCell ref="E951:F951"/>
    <mergeCell ref="E949:F949"/>
    <mergeCell ref="E954:F954"/>
    <mergeCell ref="E960:F960"/>
    <mergeCell ref="E955:F955"/>
    <mergeCell ref="E943:F943"/>
    <mergeCell ref="E961:F961"/>
    <mergeCell ref="E957:F957"/>
    <mergeCell ref="E973:F973"/>
    <mergeCell ref="E972:F972"/>
    <mergeCell ref="E977:F977"/>
    <mergeCell ref="E974:F974"/>
    <mergeCell ref="E975:F975"/>
    <mergeCell ref="E1173:F1173"/>
    <mergeCell ref="E1058:F1058"/>
    <mergeCell ref="E1057:F1057"/>
    <mergeCell ref="E1034:F1034"/>
    <mergeCell ref="E1052:F1052"/>
    <mergeCell ref="E1039:F1039"/>
    <mergeCell ref="E1041:F1041"/>
    <mergeCell ref="E1159:F1159"/>
    <mergeCell ref="E1154:F1154"/>
    <mergeCell ref="E1155:F1155"/>
    <mergeCell ref="E1177:F1177"/>
    <mergeCell ref="E1018:F1018"/>
    <mergeCell ref="E1215:F1215"/>
    <mergeCell ref="E1026:F1026"/>
    <mergeCell ref="E1027:F1027"/>
    <mergeCell ref="E1029:F1029"/>
    <mergeCell ref="E1028:F1028"/>
    <mergeCell ref="E1183:F1183"/>
    <mergeCell ref="E1180:F1180"/>
    <mergeCell ref="E1178:F1178"/>
    <mergeCell ref="E1162:F1162"/>
    <mergeCell ref="E1171:F1171"/>
    <mergeCell ref="E1170:F1170"/>
    <mergeCell ref="E1165:F1165"/>
    <mergeCell ref="E1169:F1169"/>
    <mergeCell ref="E1164:F1164"/>
    <mergeCell ref="E1167:F1167"/>
    <mergeCell ref="E1216:F1216"/>
    <mergeCell ref="E1011:F1011"/>
    <mergeCell ref="E1209:F1209"/>
    <mergeCell ref="E1206:F1206"/>
    <mergeCell ref="E1202:F1202"/>
    <mergeCell ref="E1203:F1203"/>
    <mergeCell ref="E1200:F1200"/>
    <mergeCell ref="E1211:F1211"/>
    <mergeCell ref="E1025:F1025"/>
    <mergeCell ref="E1212:F1212"/>
    <mergeCell ref="E1004:F1004"/>
    <mergeCell ref="E1015:F1015"/>
    <mergeCell ref="E1030:F1030"/>
    <mergeCell ref="E1031:F1031"/>
    <mergeCell ref="E1014:F1014"/>
    <mergeCell ref="E1008:F1008"/>
    <mergeCell ref="E1005:F1005"/>
    <mergeCell ref="E1012:F1012"/>
    <mergeCell ref="E1007:F1007"/>
    <mergeCell ref="E1009:F1009"/>
    <mergeCell ref="E1032:F1032"/>
    <mergeCell ref="E1033:F1033"/>
    <mergeCell ref="E1019:F1019"/>
    <mergeCell ref="E1010:F1010"/>
    <mergeCell ref="E1021:F1021"/>
    <mergeCell ref="E1023:F1023"/>
    <mergeCell ref="E1024:F1024"/>
    <mergeCell ref="E1022:F1022"/>
    <mergeCell ref="E1017:F1017"/>
    <mergeCell ref="E1035:F1035"/>
    <mergeCell ref="E1036:F1036"/>
    <mergeCell ref="E1037:F1037"/>
    <mergeCell ref="E1038:F1038"/>
    <mergeCell ref="E1067:F1067"/>
    <mergeCell ref="E1042:F1042"/>
    <mergeCell ref="E1043:F1043"/>
    <mergeCell ref="E1045:F1045"/>
    <mergeCell ref="E1046:F1046"/>
    <mergeCell ref="E1048:F1048"/>
    <mergeCell ref="E1050:F1050"/>
    <mergeCell ref="E1047:F1047"/>
    <mergeCell ref="E1049:F1049"/>
    <mergeCell ref="E1044:F1044"/>
    <mergeCell ref="E1078:F1078"/>
    <mergeCell ref="E1079:F1079"/>
    <mergeCell ref="E1070:F1070"/>
    <mergeCell ref="E1071:F1071"/>
    <mergeCell ref="E1072:F1072"/>
    <mergeCell ref="E1051:F1051"/>
    <mergeCell ref="E1053:F1053"/>
    <mergeCell ref="E1054:F1054"/>
    <mergeCell ref="E1055:F1055"/>
    <mergeCell ref="E1059:F1059"/>
    <mergeCell ref="E1068:F1068"/>
    <mergeCell ref="E1077:F1077"/>
    <mergeCell ref="E1069:F1069"/>
    <mergeCell ref="E1075:F1075"/>
    <mergeCell ref="E1065:F1065"/>
    <mergeCell ref="E1063:F1063"/>
    <mergeCell ref="E1076:F1076"/>
    <mergeCell ref="E1074:F1074"/>
    <mergeCell ref="E1064:F1064"/>
    <mergeCell ref="E1098:F1098"/>
    <mergeCell ref="E1099:F1099"/>
    <mergeCell ref="E1089:F1089"/>
    <mergeCell ref="E1090:F1090"/>
    <mergeCell ref="E1095:F1095"/>
    <mergeCell ref="E1092:F1092"/>
    <mergeCell ref="E1097:F1097"/>
    <mergeCell ref="E1081:F1081"/>
    <mergeCell ref="E1116:F1116"/>
    <mergeCell ref="E1115:F1115"/>
    <mergeCell ref="E1082:F1082"/>
    <mergeCell ref="E1083:F1083"/>
    <mergeCell ref="E1084:F1084"/>
    <mergeCell ref="E1088:F1088"/>
    <mergeCell ref="E1085:F1085"/>
    <mergeCell ref="E1086:F1086"/>
    <mergeCell ref="E1100:F1100"/>
    <mergeCell ref="E1143:F1143"/>
    <mergeCell ref="E1102:F1102"/>
    <mergeCell ref="E1106:F1106"/>
    <mergeCell ref="E1120:F1120"/>
    <mergeCell ref="E1130:F1130"/>
    <mergeCell ref="E1121:F1121"/>
    <mergeCell ref="E1111:F1111"/>
    <mergeCell ref="E1131:F1131"/>
    <mergeCell ref="E1104:F1104"/>
    <mergeCell ref="E1105:F1105"/>
    <mergeCell ref="E1126:F1126"/>
    <mergeCell ref="E1101:F1101"/>
    <mergeCell ref="E1128:F1128"/>
    <mergeCell ref="E1129:F1129"/>
    <mergeCell ref="E1107:F1107"/>
    <mergeCell ref="E1113:F1113"/>
    <mergeCell ref="E1122:F1122"/>
    <mergeCell ref="E1125:F1125"/>
    <mergeCell ref="E1123:F1123"/>
    <mergeCell ref="E1124:F1124"/>
    <mergeCell ref="E1127:F1127"/>
    <mergeCell ref="E1237:F1237"/>
    <mergeCell ref="E1136:F1136"/>
    <mergeCell ref="E1139:F1139"/>
    <mergeCell ref="E1140:F1140"/>
    <mergeCell ref="E1142:F1142"/>
    <mergeCell ref="E1217:F1217"/>
    <mergeCell ref="E1137:F1137"/>
    <mergeCell ref="E1138:F1138"/>
    <mergeCell ref="E1141:F1141"/>
    <mergeCell ref="E1146:F1146"/>
    <mergeCell ref="E1314:F1314"/>
    <mergeCell ref="E1293:F1293"/>
    <mergeCell ref="E1157:F1157"/>
    <mergeCell ref="E1226:F1226"/>
    <mergeCell ref="E1228:F1228"/>
    <mergeCell ref="E1239:F1239"/>
    <mergeCell ref="E1291:F1291"/>
    <mergeCell ref="E1310:F1310"/>
    <mergeCell ref="E1236:F1236"/>
    <mergeCell ref="E1221:F1221"/>
    <mergeCell ref="E1222:F1222"/>
    <mergeCell ref="E1347:F1347"/>
    <mergeCell ref="E1351:F1351"/>
    <mergeCell ref="E1324:F1324"/>
    <mergeCell ref="E1302:F1302"/>
    <mergeCell ref="E1297:F1297"/>
    <mergeCell ref="E1300:F1300"/>
    <mergeCell ref="E1301:F1301"/>
    <mergeCell ref="E1319:F1319"/>
    <mergeCell ref="E1238:F1238"/>
    <mergeCell ref="E1352:F1352"/>
    <mergeCell ref="E1349:F1349"/>
    <mergeCell ref="E1320:F1320"/>
    <mergeCell ref="E1298:F1298"/>
    <mergeCell ref="E1299:F1299"/>
    <mergeCell ref="E1350:F1350"/>
    <mergeCell ref="E1344:F1344"/>
    <mergeCell ref="E1342:F1342"/>
    <mergeCell ref="E1294:F1294"/>
    <mergeCell ref="E1315:F1315"/>
    <mergeCell ref="E1295:F1295"/>
    <mergeCell ref="E1305:F1305"/>
    <mergeCell ref="E1309:F1309"/>
    <mergeCell ref="E1304:F1304"/>
    <mergeCell ref="E1308:F1308"/>
    <mergeCell ref="E1312:F1312"/>
    <mergeCell ref="E1307:F1307"/>
    <mergeCell ref="E1306:F1306"/>
    <mergeCell ref="E1313:F1313"/>
    <mergeCell ref="E1316:F1316"/>
    <mergeCell ref="E1331:F1331"/>
    <mergeCell ref="E1332:F1332"/>
    <mergeCell ref="E1330:F1330"/>
    <mergeCell ref="E1329:F1329"/>
    <mergeCell ref="E1328:F1328"/>
    <mergeCell ref="E1322:F1322"/>
    <mergeCell ref="E1327:F1327"/>
    <mergeCell ref="E1318:F1318"/>
    <mergeCell ref="E1323:F1323"/>
    <mergeCell ref="E1338:F1338"/>
    <mergeCell ref="E1367:F1367"/>
    <mergeCell ref="E1384:F1384"/>
    <mergeCell ref="E1385:F1385"/>
    <mergeCell ref="E1368:F1368"/>
    <mergeCell ref="E1343:F1343"/>
    <mergeCell ref="E1346:F1346"/>
    <mergeCell ref="E1340:F1340"/>
    <mergeCell ref="E1341:F1341"/>
    <mergeCell ref="E1348:F1348"/>
    <mergeCell ref="E1370:F1370"/>
    <mergeCell ref="E1377:F1377"/>
    <mergeCell ref="E1381:F1381"/>
    <mergeCell ref="E1380:F1380"/>
    <mergeCell ref="E1389:F1389"/>
    <mergeCell ref="E1378:F1378"/>
    <mergeCell ref="E1372:F1372"/>
    <mergeCell ref="E1436:F1436"/>
    <mergeCell ref="E1434:F1434"/>
    <mergeCell ref="E1435:F1435"/>
    <mergeCell ref="E1408:F1408"/>
    <mergeCell ref="E1411:F1411"/>
    <mergeCell ref="E1423:F1423"/>
    <mergeCell ref="E1415:F1415"/>
    <mergeCell ref="E1387:F1387"/>
    <mergeCell ref="E1374:F1374"/>
    <mergeCell ref="E1371:F1371"/>
    <mergeCell ref="E1382:F1382"/>
    <mergeCell ref="E1373:F1373"/>
    <mergeCell ref="E1386:F1386"/>
    <mergeCell ref="E1383:F1383"/>
    <mergeCell ref="E1379:F1379"/>
    <mergeCell ref="E1407:F1407"/>
    <mergeCell ref="E1413:F1413"/>
    <mergeCell ref="E1392:F1392"/>
    <mergeCell ref="E1390:F1390"/>
    <mergeCell ref="E1412:F1412"/>
    <mergeCell ref="E1409:F1409"/>
    <mergeCell ref="E1406:F1406"/>
    <mergeCell ref="E1395:F1395"/>
    <mergeCell ref="E1401:F1401"/>
    <mergeCell ref="E1402:F1402"/>
    <mergeCell ref="E1427:F1427"/>
    <mergeCell ref="E1428:F1428"/>
    <mergeCell ref="E1422:F1422"/>
    <mergeCell ref="E1425:F1425"/>
    <mergeCell ref="E1440:F1440"/>
    <mergeCell ref="E1439:F1439"/>
    <mergeCell ref="E1441:F1441"/>
    <mergeCell ref="E1518:F1518"/>
    <mergeCell ref="E1503:F1503"/>
    <mergeCell ref="E1504:F1504"/>
    <mergeCell ref="E1505:F1505"/>
    <mergeCell ref="E1515:F1515"/>
    <mergeCell ref="E1507:F1507"/>
    <mergeCell ref="E1512:F1512"/>
    <mergeCell ref="E1513:F1513"/>
    <mergeCell ref="E1514:F1514"/>
    <mergeCell ref="E1508:F1508"/>
    <mergeCell ref="E1523:F1523"/>
    <mergeCell ref="E1509:F1509"/>
    <mergeCell ref="E1484:F1484"/>
    <mergeCell ref="E1527:F1527"/>
    <mergeCell ref="E1528:F1528"/>
    <mergeCell ref="E1511:F1511"/>
    <mergeCell ref="E1524:F1524"/>
    <mergeCell ref="E1516:F1516"/>
    <mergeCell ref="E1519:F1519"/>
    <mergeCell ref="E1525:F1525"/>
    <mergeCell ref="E1517:F1517"/>
    <mergeCell ref="E1526:F1526"/>
    <mergeCell ref="E2077:F2077"/>
    <mergeCell ref="E2064:F2064"/>
    <mergeCell ref="E2065:F2065"/>
    <mergeCell ref="E1491:F1491"/>
    <mergeCell ref="E1496:F1496"/>
    <mergeCell ref="E1627:F1627"/>
    <mergeCell ref="E1616:F1616"/>
    <mergeCell ref="E1529:F1529"/>
    <mergeCell ref="E1530:F1530"/>
    <mergeCell ref="E1611:F1611"/>
    <mergeCell ref="E1485:F1485"/>
    <mergeCell ref="E1495:F1495"/>
    <mergeCell ref="E1490:F1490"/>
    <mergeCell ref="E1466:F1466"/>
    <mergeCell ref="E1467:F1467"/>
    <mergeCell ref="E1470:F1470"/>
    <mergeCell ref="E1482:F1482"/>
    <mergeCell ref="E1474:F1474"/>
    <mergeCell ref="E1475:F1475"/>
    <mergeCell ref="E1472:F1472"/>
    <mergeCell ref="E1468:F1468"/>
    <mergeCell ref="E1473:F1473"/>
    <mergeCell ref="E1481:F1481"/>
    <mergeCell ref="E1630:F1630"/>
    <mergeCell ref="E1617:F1617"/>
    <mergeCell ref="E1619:F1619"/>
    <mergeCell ref="E1618:F1618"/>
    <mergeCell ref="E1625:F1625"/>
    <mergeCell ref="E1628:F1628"/>
    <mergeCell ref="E1629:F1629"/>
    <mergeCell ref="E1604:F1604"/>
    <mergeCell ref="E1601:F1601"/>
    <mergeCell ref="E1614:F1614"/>
    <mergeCell ref="E1542:F1542"/>
    <mergeCell ref="E1543:F1543"/>
    <mergeCell ref="E1544:F1544"/>
    <mergeCell ref="E1585:F1585"/>
    <mergeCell ref="E1588:F1588"/>
    <mergeCell ref="E1590:F1590"/>
    <mergeCell ref="E1591:F1591"/>
    <mergeCell ref="E1483:F1483"/>
    <mergeCell ref="E1506:F1506"/>
    <mergeCell ref="E1581:F1581"/>
    <mergeCell ref="E1582:F1582"/>
    <mergeCell ref="E1579:F1579"/>
    <mergeCell ref="E1534:F1534"/>
    <mergeCell ref="E1510:F1510"/>
    <mergeCell ref="E1492:F1492"/>
    <mergeCell ref="E1493:F1493"/>
    <mergeCell ref="E1494:F1494"/>
    <mergeCell ref="E4086:F4086"/>
    <mergeCell ref="E4087:F4087"/>
    <mergeCell ref="E1624:F1624"/>
    <mergeCell ref="E1620:F1620"/>
    <mergeCell ref="E1623:F1623"/>
    <mergeCell ref="E1622:F1622"/>
    <mergeCell ref="E1621:F1621"/>
    <mergeCell ref="E2111:F2111"/>
    <mergeCell ref="E2222:F2222"/>
    <mergeCell ref="E1685:F1685"/>
    <mergeCell ref="E1615:F1615"/>
    <mergeCell ref="E1648:F1648"/>
    <mergeCell ref="E2069:F2069"/>
    <mergeCell ref="E2236:F2236"/>
    <mergeCell ref="E2219:F2219"/>
    <mergeCell ref="E2231:F2231"/>
    <mergeCell ref="E2229:F2229"/>
    <mergeCell ref="E2227:F2227"/>
    <mergeCell ref="E2226:F2226"/>
    <mergeCell ref="E2081:F2081"/>
    <mergeCell ref="E1778:F1778"/>
    <mergeCell ref="E1782:F1782"/>
    <mergeCell ref="E1780:F1780"/>
    <mergeCell ref="E1767:F1767"/>
    <mergeCell ref="E1771:F1771"/>
    <mergeCell ref="E1772:F1772"/>
    <mergeCell ref="E1779:F1779"/>
    <mergeCell ref="E1697:F1697"/>
    <mergeCell ref="E1773:F1773"/>
    <mergeCell ref="E1654:F1654"/>
    <mergeCell ref="E1658:F1658"/>
    <mergeCell ref="E1659:F1659"/>
    <mergeCell ref="E1657:F1657"/>
    <mergeCell ref="E1663:F1663"/>
    <mergeCell ref="E1667:F1667"/>
    <mergeCell ref="E1656:F1656"/>
    <mergeCell ref="E1660:F1660"/>
    <mergeCell ref="E1666:F1666"/>
    <mergeCell ref="E1672:F1672"/>
    <mergeCell ref="E1792:F1792"/>
    <mergeCell ref="E1681:F1681"/>
    <mergeCell ref="E1769:F1769"/>
    <mergeCell ref="E1790:F1790"/>
    <mergeCell ref="E1706:F1706"/>
    <mergeCell ref="E1729:F1729"/>
    <mergeCell ref="E1723:F1723"/>
    <mergeCell ref="E1724:F1724"/>
    <mergeCell ref="E1653:F1653"/>
    <mergeCell ref="E2022:F2022"/>
    <mergeCell ref="E1687:F1687"/>
    <mergeCell ref="E1809:F1809"/>
    <mergeCell ref="E1799:F1799"/>
    <mergeCell ref="E1804:F1804"/>
    <mergeCell ref="E1768:F1768"/>
    <mergeCell ref="E1795:F1795"/>
    <mergeCell ref="E1811:F1811"/>
    <mergeCell ref="E1808:F1808"/>
    <mergeCell ref="E1633:F1633"/>
    <mergeCell ref="E1635:F1635"/>
    <mergeCell ref="E1645:F1645"/>
    <mergeCell ref="E1662:F1662"/>
    <mergeCell ref="E1655:F1655"/>
    <mergeCell ref="E1650:F1650"/>
    <mergeCell ref="E1646:F1646"/>
    <mergeCell ref="E1647:F1647"/>
    <mergeCell ref="E1652:F1652"/>
    <mergeCell ref="E1651:F1651"/>
    <mergeCell ref="E1796:F1796"/>
    <mergeCell ref="E1803:F1803"/>
    <mergeCell ref="E1806:F1806"/>
    <mergeCell ref="E1800:F1800"/>
    <mergeCell ref="E1805:F1805"/>
    <mergeCell ref="E1802:F1802"/>
    <mergeCell ref="E1807:F1807"/>
    <mergeCell ref="E1836:F1836"/>
    <mergeCell ref="E1839:F1839"/>
    <mergeCell ref="E1815:F1815"/>
    <mergeCell ref="E1810:F1810"/>
    <mergeCell ref="E1812:F1812"/>
    <mergeCell ref="E1826:F1826"/>
    <mergeCell ref="E1821:F1821"/>
    <mergeCell ref="E1827:F1827"/>
    <mergeCell ref="E1813:F1813"/>
    <mergeCell ref="E1819:F1819"/>
    <mergeCell ref="E1831:F1831"/>
    <mergeCell ref="E1856:F1856"/>
    <mergeCell ref="E1832:F1832"/>
    <mergeCell ref="E1835:F1835"/>
    <mergeCell ref="E1838:F1838"/>
    <mergeCell ref="E1833:F1833"/>
    <mergeCell ref="E1834:F1834"/>
    <mergeCell ref="E1820:F1820"/>
    <mergeCell ref="E1851:F1851"/>
    <mergeCell ref="E1840:F1840"/>
    <mergeCell ref="E1849:F1849"/>
    <mergeCell ref="E1861:F1861"/>
    <mergeCell ref="E1858:F1858"/>
    <mergeCell ref="E1854:F1854"/>
    <mergeCell ref="E1853:F1853"/>
    <mergeCell ref="E1857:F1857"/>
    <mergeCell ref="E1842:F1842"/>
    <mergeCell ref="E1845:F1845"/>
    <mergeCell ref="E1848:F1848"/>
    <mergeCell ref="E1862:F1862"/>
    <mergeCell ref="E1855:F1855"/>
    <mergeCell ref="E1850:F1850"/>
    <mergeCell ref="E1901:F1901"/>
    <mergeCell ref="E1893:F1893"/>
    <mergeCell ref="E1894:F1894"/>
    <mergeCell ref="E1885:F1885"/>
    <mergeCell ref="E1886:F1886"/>
    <mergeCell ref="E1887:F1887"/>
    <mergeCell ref="E1888:F1888"/>
    <mergeCell ref="E1896:F1896"/>
    <mergeCell ref="E1899:F1899"/>
    <mergeCell ref="E1902:F1902"/>
    <mergeCell ref="E1903:F1903"/>
    <mergeCell ref="E1906:F1906"/>
    <mergeCell ref="E1909:F1909"/>
    <mergeCell ref="E1913:F1913"/>
    <mergeCell ref="E1911:F1911"/>
    <mergeCell ref="E1921:F1921"/>
    <mergeCell ref="E1912:F1912"/>
    <mergeCell ref="E1928:F1928"/>
    <mergeCell ref="E1925:F1925"/>
    <mergeCell ref="E1915:F1915"/>
    <mergeCell ref="E1916:F1916"/>
    <mergeCell ref="E1926:F1926"/>
    <mergeCell ref="E1927:F1927"/>
    <mergeCell ref="E1917:F1917"/>
    <mergeCell ref="E1914:F1914"/>
    <mergeCell ref="E1929:F1929"/>
    <mergeCell ref="E1956:F1956"/>
    <mergeCell ref="E1957:F1957"/>
    <mergeCell ref="E1947:F1947"/>
    <mergeCell ref="E1930:F1930"/>
    <mergeCell ref="E1941:F1941"/>
    <mergeCell ref="E1942:F1942"/>
    <mergeCell ref="E1931:F1931"/>
    <mergeCell ref="E1935:F1935"/>
    <mergeCell ref="E1934:F1934"/>
    <mergeCell ref="E1960:F1960"/>
    <mergeCell ref="E1961:F1961"/>
    <mergeCell ref="E1962:F1962"/>
    <mergeCell ref="E1965:F1965"/>
    <mergeCell ref="E3396:F3396"/>
    <mergeCell ref="E2068:F2068"/>
    <mergeCell ref="E2018:F2018"/>
    <mergeCell ref="E2025:F2025"/>
    <mergeCell ref="E2021:F2021"/>
    <mergeCell ref="E2109:F2109"/>
    <mergeCell ref="E2074:F2074"/>
    <mergeCell ref="E2132:F2132"/>
    <mergeCell ref="E2128:F2128"/>
    <mergeCell ref="E2110:F2110"/>
    <mergeCell ref="E1948:F1948"/>
    <mergeCell ref="E1949:F1949"/>
    <mergeCell ref="E1955:F1955"/>
    <mergeCell ref="E1951:F1951"/>
    <mergeCell ref="E2012:F2012"/>
    <mergeCell ref="E2093:F2093"/>
    <mergeCell ref="E2017:F2017"/>
    <mergeCell ref="E1950:F1950"/>
    <mergeCell ref="E2034:F2034"/>
    <mergeCell ref="E2086:F2086"/>
    <mergeCell ref="E2023:F2023"/>
    <mergeCell ref="E2026:F2026"/>
    <mergeCell ref="E2028:F2028"/>
    <mergeCell ref="E2029:F2029"/>
    <mergeCell ref="E4176:F4176"/>
    <mergeCell ref="E1966:F1966"/>
    <mergeCell ref="E2100:F2100"/>
    <mergeCell ref="E2101:F2101"/>
    <mergeCell ref="E3395:F3395"/>
    <mergeCell ref="E2115:F2115"/>
    <mergeCell ref="E2117:F2117"/>
    <mergeCell ref="E2107:F2107"/>
    <mergeCell ref="E2104:F2104"/>
    <mergeCell ref="E2105:F2105"/>
    <mergeCell ref="E2113:F2113"/>
    <mergeCell ref="E2112:F2112"/>
    <mergeCell ref="E2118:F2118"/>
    <mergeCell ref="E2116:F2116"/>
    <mergeCell ref="E2114:F2114"/>
    <mergeCell ref="E2124:F2124"/>
    <mergeCell ref="E2125:F2125"/>
    <mergeCell ref="E2120:F2120"/>
    <mergeCell ref="E2154:F2154"/>
    <mergeCell ref="E2150:F2150"/>
    <mergeCell ref="E2131:F2131"/>
    <mergeCell ref="E2145:F2145"/>
    <mergeCell ref="E2149:F2149"/>
    <mergeCell ref="E2151:F2151"/>
    <mergeCell ref="E2148:F2148"/>
    <mergeCell ref="E2119:F2119"/>
    <mergeCell ref="E2121:F2121"/>
    <mergeCell ref="E2122:F2122"/>
    <mergeCell ref="E2123:F2123"/>
    <mergeCell ref="E2127:F2127"/>
    <mergeCell ref="E2130:F2130"/>
    <mergeCell ref="E2129:F2129"/>
    <mergeCell ref="E2158:F2158"/>
    <mergeCell ref="E2152:F2152"/>
    <mergeCell ref="E2153:F2153"/>
    <mergeCell ref="E2135:F2135"/>
    <mergeCell ref="E2136:F2136"/>
    <mergeCell ref="E2155:F2155"/>
    <mergeCell ref="E2144:F2144"/>
    <mergeCell ref="E2169:F2169"/>
    <mergeCell ref="E2177:F2177"/>
    <mergeCell ref="E2159:F2159"/>
    <mergeCell ref="E2160:F2160"/>
    <mergeCell ref="E2173:F2173"/>
    <mergeCell ref="E2170:F2170"/>
    <mergeCell ref="E2164:F2164"/>
    <mergeCell ref="E2171:F2171"/>
    <mergeCell ref="E2175:F2175"/>
    <mergeCell ref="E2162:F2162"/>
    <mergeCell ref="E2146:F2146"/>
    <mergeCell ref="E2147:F2147"/>
    <mergeCell ref="E2161:F2161"/>
    <mergeCell ref="E2156:F2156"/>
    <mergeCell ref="E2184:F2184"/>
    <mergeCell ref="E2182:F2182"/>
    <mergeCell ref="E2180:F2180"/>
    <mergeCell ref="E2183:F2183"/>
    <mergeCell ref="E2203:F2203"/>
    <mergeCell ref="E2178:F2178"/>
    <mergeCell ref="E2179:F2179"/>
    <mergeCell ref="E2188:F2188"/>
    <mergeCell ref="E2191:F2191"/>
    <mergeCell ref="E2186:F2186"/>
    <mergeCell ref="E2187:F2187"/>
    <mergeCell ref="E2189:F2189"/>
    <mergeCell ref="E2185:F2185"/>
    <mergeCell ref="E2181:F2181"/>
    <mergeCell ref="E2192:F2192"/>
    <mergeCell ref="E2190:F2190"/>
    <mergeCell ref="E2206:F2206"/>
    <mergeCell ref="E2209:F2209"/>
    <mergeCell ref="E2202:F2202"/>
    <mergeCell ref="E2205:F2205"/>
    <mergeCell ref="E2200:F2200"/>
    <mergeCell ref="E2199:F2199"/>
    <mergeCell ref="E2201:F2201"/>
    <mergeCell ref="E2204:F2204"/>
    <mergeCell ref="E2213:F2213"/>
    <mergeCell ref="E2208:F2208"/>
    <mergeCell ref="E2207:F2207"/>
    <mergeCell ref="E2257:F2257"/>
    <mergeCell ref="E2254:F2254"/>
    <mergeCell ref="E2218:F2218"/>
    <mergeCell ref="E2214:F2214"/>
    <mergeCell ref="E2250:F2250"/>
    <mergeCell ref="E2247:F2247"/>
    <mergeCell ref="E2237:F2237"/>
    <mergeCell ref="E2245:F2245"/>
    <mergeCell ref="E2228:F2228"/>
    <mergeCell ref="E2216:F2216"/>
    <mergeCell ref="E2248:F2248"/>
    <mergeCell ref="E2223:F2223"/>
    <mergeCell ref="E2221:F2221"/>
    <mergeCell ref="E2225:F2225"/>
    <mergeCell ref="E2234:F2234"/>
    <mergeCell ref="E2220:F2220"/>
    <mergeCell ref="E2246:F2246"/>
    <mergeCell ref="E2251:F2251"/>
    <mergeCell ref="E2255:F2255"/>
    <mergeCell ref="E2256:F2256"/>
    <mergeCell ref="E2270:F2270"/>
    <mergeCell ref="E2266:F2266"/>
    <mergeCell ref="E2261:F2261"/>
    <mergeCell ref="E2262:F2262"/>
    <mergeCell ref="E2263:F2263"/>
    <mergeCell ref="E2264:F2264"/>
    <mergeCell ref="E2265:F2265"/>
    <mergeCell ref="E2269:F2269"/>
    <mergeCell ref="E2271:F2271"/>
    <mergeCell ref="E2276:F2276"/>
    <mergeCell ref="E2272:F2272"/>
    <mergeCell ref="E2273:F2273"/>
    <mergeCell ref="E2274:F2274"/>
    <mergeCell ref="E2275:F2275"/>
    <mergeCell ref="E2286:F2286"/>
    <mergeCell ref="E2288:F2288"/>
    <mergeCell ref="E2277:F2277"/>
    <mergeCell ref="E2278:F2278"/>
    <mergeCell ref="E2279:F2279"/>
    <mergeCell ref="E2280:F2280"/>
    <mergeCell ref="E2281:F2281"/>
    <mergeCell ref="E2283:F2283"/>
    <mergeCell ref="E2284:F2284"/>
    <mergeCell ref="E2285:F2285"/>
    <mergeCell ref="E2282:F2282"/>
    <mergeCell ref="E2289:F2289"/>
    <mergeCell ref="E2290:F2290"/>
    <mergeCell ref="E2287:F2287"/>
    <mergeCell ref="E2295:F2295"/>
    <mergeCell ref="E2292:F2292"/>
    <mergeCell ref="E2291:F2291"/>
    <mergeCell ref="E2293:F2293"/>
    <mergeCell ref="E2294:F2294"/>
    <mergeCell ref="E2296:F2296"/>
    <mergeCell ref="E2298:F2298"/>
    <mergeCell ref="E2303:F2303"/>
    <mergeCell ref="E2307:F2307"/>
    <mergeCell ref="E2297:F2297"/>
    <mergeCell ref="E2302:F2302"/>
    <mergeCell ref="E2299:F2299"/>
    <mergeCell ref="E2300:F2300"/>
    <mergeCell ref="E2309:F2309"/>
    <mergeCell ref="E2318:F2318"/>
    <mergeCell ref="E2304:F2304"/>
    <mergeCell ref="E2305:F2305"/>
    <mergeCell ref="E2310:F2310"/>
    <mergeCell ref="E2311:F2311"/>
    <mergeCell ref="E2308:F2308"/>
    <mergeCell ref="E2306:F2306"/>
    <mergeCell ref="E2324:F2324"/>
    <mergeCell ref="E2312:F2312"/>
    <mergeCell ref="E2314:F2314"/>
    <mergeCell ref="E2315:F2315"/>
    <mergeCell ref="E2316:F2316"/>
    <mergeCell ref="E2313:F2313"/>
    <mergeCell ref="E2317:F2317"/>
    <mergeCell ref="E2329:F2329"/>
    <mergeCell ref="E2330:F2330"/>
    <mergeCell ref="E2319:F2319"/>
    <mergeCell ref="E2320:F2320"/>
    <mergeCell ref="E2321:F2321"/>
    <mergeCell ref="E2325:F2325"/>
    <mergeCell ref="E2326:F2326"/>
    <mergeCell ref="E2323:F2323"/>
    <mergeCell ref="E2327:F2327"/>
    <mergeCell ref="E2322:F2322"/>
    <mergeCell ref="E2331:F2331"/>
    <mergeCell ref="E2328:F2328"/>
    <mergeCell ref="E4524:F4524"/>
    <mergeCell ref="E4523:F4523"/>
    <mergeCell ref="E4200:F4200"/>
    <mergeCell ref="E4201:F4201"/>
    <mergeCell ref="E4211:F4211"/>
    <mergeCell ref="E4450:F4450"/>
    <mergeCell ref="E4520:F4520"/>
    <mergeCell ref="E4231:F4231"/>
    <mergeCell ref="E2332:F2332"/>
    <mergeCell ref="E2334:F2334"/>
    <mergeCell ref="E2333:F2333"/>
    <mergeCell ref="E4125:F4125"/>
    <mergeCell ref="E4123:F4123"/>
    <mergeCell ref="E4092:F4092"/>
    <mergeCell ref="E4110:F4110"/>
    <mergeCell ref="E4115:F4115"/>
    <mergeCell ref="E4112:F4112"/>
    <mergeCell ref="E4118:F4118"/>
    <mergeCell ref="E4479:F4479"/>
    <mergeCell ref="E4209:F4209"/>
    <mergeCell ref="E4250:F4250"/>
    <mergeCell ref="E4496:F4496"/>
    <mergeCell ref="E4325:F4325"/>
    <mergeCell ref="E4210:F4210"/>
    <mergeCell ref="E4421:F4421"/>
    <mergeCell ref="E4232:F4232"/>
    <mergeCell ref="E4461:F4461"/>
    <mergeCell ref="E4484:F4484"/>
    <mergeCell ref="E4480:F4480"/>
    <mergeCell ref="E4512:F4512"/>
    <mergeCell ref="E4514:F4514"/>
    <mergeCell ref="E4481:F4481"/>
    <mergeCell ref="E4482:F4482"/>
    <mergeCell ref="E4483:F4483"/>
    <mergeCell ref="E4502:F4502"/>
    <mergeCell ref="E4503:F4503"/>
    <mergeCell ref="E4491:F4491"/>
    <mergeCell ref="E4511:F4511"/>
    <mergeCell ref="E4238:F4238"/>
    <mergeCell ref="E4240:F4240"/>
    <mergeCell ref="E4306:F4306"/>
    <mergeCell ref="E4464:F4464"/>
    <mergeCell ref="E4419:F4419"/>
    <mergeCell ref="E4323:F4323"/>
    <mergeCell ref="E4248:F4248"/>
    <mergeCell ref="E4252:F4252"/>
    <mergeCell ref="E4245:F4245"/>
    <mergeCell ref="E4279:F4279"/>
    <mergeCell ref="E4205:F4205"/>
    <mergeCell ref="E4206:F4206"/>
    <mergeCell ref="E4207:F4207"/>
    <mergeCell ref="E4208:F4208"/>
    <mergeCell ref="E2339:F2339"/>
    <mergeCell ref="E2340:F2340"/>
    <mergeCell ref="E2371:F2371"/>
    <mergeCell ref="E2365:F2365"/>
    <mergeCell ref="E2353:F2353"/>
    <mergeCell ref="E2354:F2354"/>
    <mergeCell ref="E2355:F2355"/>
    <mergeCell ref="E2359:F2359"/>
    <mergeCell ref="E2351:F2351"/>
    <mergeCell ref="E2342:F2342"/>
    <mergeCell ref="E2352:F2352"/>
    <mergeCell ref="E2357:F2357"/>
    <mergeCell ref="E2358:F2358"/>
    <mergeCell ref="E2382:F2382"/>
    <mergeCell ref="E2372:F2372"/>
    <mergeCell ref="E2376:F2376"/>
    <mergeCell ref="E2361:F2361"/>
    <mergeCell ref="E2362:F2362"/>
    <mergeCell ref="E2363:F2363"/>
    <mergeCell ref="E2374:F2374"/>
    <mergeCell ref="E2367:F2367"/>
    <mergeCell ref="E2379:F2379"/>
    <mergeCell ref="E2368:F2368"/>
    <mergeCell ref="E2369:F2369"/>
    <mergeCell ref="E2380:F2380"/>
    <mergeCell ref="E2377:F2377"/>
    <mergeCell ref="E2373:F2373"/>
    <mergeCell ref="E2375:F2375"/>
    <mergeCell ref="E2416:F2416"/>
    <mergeCell ref="E2465:F2465"/>
    <mergeCell ref="E2462:F2462"/>
    <mergeCell ref="E2433:F2433"/>
    <mergeCell ref="E2424:F2424"/>
    <mergeCell ref="E2429:F2429"/>
    <mergeCell ref="E2421:F2421"/>
    <mergeCell ref="E2434:F2434"/>
    <mergeCell ref="E2435:F2435"/>
    <mergeCell ref="E4727:F4727"/>
    <mergeCell ref="E4133:F4133"/>
    <mergeCell ref="E4504:F4504"/>
    <mergeCell ref="E2464:F2464"/>
    <mergeCell ref="E4218:F4218"/>
    <mergeCell ref="E4213:F4213"/>
    <mergeCell ref="E2476:F2476"/>
    <mergeCell ref="E2471:F2471"/>
    <mergeCell ref="E4500:F4500"/>
    <mergeCell ref="E4493:F4493"/>
    <mergeCell ref="E2436:F2436"/>
    <mergeCell ref="E2438:F2438"/>
    <mergeCell ref="E2426:F2426"/>
    <mergeCell ref="E4418:F4418"/>
    <mergeCell ref="E4093:F4093"/>
    <mergeCell ref="E4099:F4099"/>
    <mergeCell ref="E2456:F2456"/>
    <mergeCell ref="E2480:F2480"/>
    <mergeCell ref="E4121:F4121"/>
    <mergeCell ref="E4122:F4122"/>
    <mergeCell ref="E4436:F4436"/>
    <mergeCell ref="E4446:F4446"/>
    <mergeCell ref="E4440:F4440"/>
    <mergeCell ref="E4439:F4439"/>
    <mergeCell ref="E4438:F4438"/>
    <mergeCell ref="E4441:F4441"/>
    <mergeCell ref="E4442:F4442"/>
    <mergeCell ref="E2490:F2490"/>
    <mergeCell ref="E4222:F4222"/>
    <mergeCell ref="E4223:F4223"/>
    <mergeCell ref="E4221:F4221"/>
    <mergeCell ref="E4198:F4198"/>
    <mergeCell ref="E4199:F4199"/>
    <mergeCell ref="E4097:F4097"/>
    <mergeCell ref="E4117:F4117"/>
    <mergeCell ref="E4214:F4214"/>
    <mergeCell ref="E4212:F4212"/>
    <mergeCell ref="E2523:F2523"/>
    <mergeCell ref="E4498:F4498"/>
    <mergeCell ref="E4490:F4490"/>
    <mergeCell ref="E4488:F4488"/>
    <mergeCell ref="E4489:F4489"/>
    <mergeCell ref="E4434:F4434"/>
    <mergeCell ref="E4453:F4453"/>
    <mergeCell ref="E4454:F4454"/>
    <mergeCell ref="E4435:F4435"/>
    <mergeCell ref="E4437:F4437"/>
    <mergeCell ref="E2420:F2420"/>
    <mergeCell ref="E2427:F2427"/>
    <mergeCell ref="E4116:F4116"/>
    <mergeCell ref="E2486:F2486"/>
    <mergeCell ref="E2487:F2487"/>
    <mergeCell ref="E2483:F2483"/>
    <mergeCell ref="E2485:F2485"/>
    <mergeCell ref="E2484:F2484"/>
    <mergeCell ref="E2520:F2520"/>
    <mergeCell ref="E2521:F2521"/>
    <mergeCell ref="E4492:F4492"/>
    <mergeCell ref="E4497:F4497"/>
    <mergeCell ref="E2478:F2478"/>
    <mergeCell ref="E2482:F2482"/>
    <mergeCell ref="E4451:F4451"/>
    <mergeCell ref="E4228:F4228"/>
    <mergeCell ref="E4243:F4243"/>
    <mergeCell ref="E4225:F4225"/>
    <mergeCell ref="E4226:F4226"/>
    <mergeCell ref="E4326:F4326"/>
    <mergeCell ref="E2479:F2479"/>
    <mergeCell ref="E2481:F2481"/>
    <mergeCell ref="E2391:F2391"/>
    <mergeCell ref="E2392:F2392"/>
    <mergeCell ref="E2393:F2393"/>
    <mergeCell ref="E2477:F2477"/>
    <mergeCell ref="E2430:F2430"/>
    <mergeCell ref="E2431:F2431"/>
    <mergeCell ref="E2468:F2468"/>
    <mergeCell ref="E2415:F2415"/>
    <mergeCell ref="E2413:F2413"/>
    <mergeCell ref="E2414:F2414"/>
    <mergeCell ref="E2423:F2423"/>
    <mergeCell ref="E2454:F2454"/>
    <mergeCell ref="E2446:F2446"/>
    <mergeCell ref="E2441:F2441"/>
    <mergeCell ref="E2445:F2445"/>
    <mergeCell ref="E2417:F2417"/>
    <mergeCell ref="E2443:F2443"/>
    <mergeCell ref="E2444:F2444"/>
    <mergeCell ref="E2027:F2027"/>
    <mergeCell ref="E2046:F2046"/>
    <mergeCell ref="E2407:F2407"/>
    <mergeCell ref="E2408:F2408"/>
    <mergeCell ref="E2041:F2041"/>
    <mergeCell ref="E2405:F2405"/>
    <mergeCell ref="E2388:F2388"/>
    <mergeCell ref="E2390:F2390"/>
    <mergeCell ref="E2406:F2406"/>
    <mergeCell ref="E2385:F2385"/>
    <mergeCell ref="E2071:F2071"/>
    <mergeCell ref="E2036:F2036"/>
    <mergeCell ref="E2030:F2030"/>
    <mergeCell ref="E2031:F2031"/>
    <mergeCell ref="E2032:F2032"/>
    <mergeCell ref="E2037:F2037"/>
    <mergeCell ref="E2062:F2062"/>
    <mergeCell ref="E2044:F2044"/>
    <mergeCell ref="E2039:F2039"/>
    <mergeCell ref="E2067:F2067"/>
    <mergeCell ref="E2040:F2040"/>
    <mergeCell ref="E2043:F2043"/>
    <mergeCell ref="E2061:F2061"/>
    <mergeCell ref="E2049:F2049"/>
    <mergeCell ref="E2055:F2055"/>
    <mergeCell ref="E2045:F2045"/>
    <mergeCell ref="E2056:F2056"/>
    <mergeCell ref="E2048:F2048"/>
    <mergeCell ref="E2050:F2050"/>
    <mergeCell ref="E2058:F2058"/>
    <mergeCell ref="E2052:F2052"/>
    <mergeCell ref="E2051:F2051"/>
    <mergeCell ref="E2087:F2087"/>
    <mergeCell ref="E2082:F2082"/>
    <mergeCell ref="E2084:F2084"/>
    <mergeCell ref="E2085:F2085"/>
    <mergeCell ref="E2083:F2083"/>
    <mergeCell ref="E2075:F2075"/>
    <mergeCell ref="E2076:F2076"/>
    <mergeCell ref="E2078:F2078"/>
    <mergeCell ref="E2089:F2089"/>
    <mergeCell ref="E2389:F2389"/>
    <mergeCell ref="E2386:F2386"/>
    <mergeCell ref="E2383:F2383"/>
    <mergeCell ref="E2381:F2381"/>
    <mergeCell ref="E2378:F2378"/>
    <mergeCell ref="E2387:F2387"/>
    <mergeCell ref="E2370:F2370"/>
    <mergeCell ref="E2364:F2364"/>
    <mergeCell ref="E2366:F2366"/>
    <mergeCell ref="E2412:F2412"/>
    <mergeCell ref="E2090:F2090"/>
    <mergeCell ref="E2396:F2396"/>
    <mergeCell ref="E2395:F2395"/>
    <mergeCell ref="E2394:F2394"/>
    <mergeCell ref="E2399:F2399"/>
    <mergeCell ref="E2400:F2400"/>
    <mergeCell ref="E2401:F2401"/>
    <mergeCell ref="E2410:F2410"/>
    <mergeCell ref="E2409:F2409"/>
    <mergeCell ref="E2403:F2403"/>
    <mergeCell ref="E2404:F2404"/>
    <mergeCell ref="E2398:F2398"/>
    <mergeCell ref="E2411:F2411"/>
    <mergeCell ref="E2524:F2524"/>
    <mergeCell ref="E2567:F2567"/>
    <mergeCell ref="E2545:F2545"/>
    <mergeCell ref="E2535:F2535"/>
    <mergeCell ref="E2536:F2536"/>
    <mergeCell ref="E2539:F2539"/>
    <mergeCell ref="E2543:F2543"/>
    <mergeCell ref="E2546:F2546"/>
    <mergeCell ref="E2558:F2558"/>
    <mergeCell ref="E2528:F2528"/>
    <mergeCell ref="E2529:F2529"/>
    <mergeCell ref="E2557:F2557"/>
    <mergeCell ref="E2531:F2531"/>
    <mergeCell ref="E2530:F2530"/>
    <mergeCell ref="E2534:F2534"/>
    <mergeCell ref="E2542:F2542"/>
    <mergeCell ref="E2526:F2526"/>
    <mergeCell ref="E2527:F2527"/>
    <mergeCell ref="E2550:F2550"/>
    <mergeCell ref="E2554:F2554"/>
    <mergeCell ref="E2551:F2551"/>
    <mergeCell ref="E2553:F2553"/>
    <mergeCell ref="E2540:F2540"/>
    <mergeCell ref="E2547:F2547"/>
    <mergeCell ref="E2533:F2533"/>
    <mergeCell ref="E2549:F2549"/>
    <mergeCell ref="E2577:F2577"/>
    <mergeCell ref="E2573:F2573"/>
    <mergeCell ref="E2570:F2570"/>
    <mergeCell ref="E2569:F2569"/>
    <mergeCell ref="E2571:F2571"/>
    <mergeCell ref="E2572:F2572"/>
    <mergeCell ref="E2575:F2575"/>
    <mergeCell ref="E2576:F2576"/>
    <mergeCell ref="E2639:F2639"/>
    <mergeCell ref="E2640:F2640"/>
    <mergeCell ref="E2641:F2641"/>
    <mergeCell ref="E2559:F2559"/>
    <mergeCell ref="E2634:F2634"/>
    <mergeCell ref="E2626:F2626"/>
    <mergeCell ref="E2633:F2633"/>
    <mergeCell ref="E2631:F2631"/>
    <mergeCell ref="E2632:F2632"/>
    <mergeCell ref="E2629:F2629"/>
    <mergeCell ref="E4104:F4104"/>
    <mergeCell ref="E4105:F4105"/>
    <mergeCell ref="E4174:F4174"/>
    <mergeCell ref="E4171:F4171"/>
    <mergeCell ref="E4135:F4135"/>
    <mergeCell ref="E4124:F4124"/>
    <mergeCell ref="E4107:F4107"/>
    <mergeCell ref="E4120:F4120"/>
    <mergeCell ref="E4119:F4119"/>
    <mergeCell ref="E4153:F4153"/>
    <mergeCell ref="E4175:F4175"/>
    <mergeCell ref="E4145:F4145"/>
    <mergeCell ref="E4114:F4114"/>
    <mergeCell ref="E4108:F4108"/>
    <mergeCell ref="E4113:F4113"/>
    <mergeCell ref="E4111:F4111"/>
    <mergeCell ref="E4131:F4131"/>
    <mergeCell ref="E4129:F4129"/>
    <mergeCell ref="E4130:F4130"/>
    <mergeCell ref="E4128:F4128"/>
    <mergeCell ref="E1233:F1233"/>
    <mergeCell ref="E1234:F1234"/>
    <mergeCell ref="E2658:F2658"/>
    <mergeCell ref="E1476:F1476"/>
    <mergeCell ref="E1477:F1477"/>
    <mergeCell ref="E1478:F1478"/>
    <mergeCell ref="E1479:F1479"/>
    <mergeCell ref="E1480:F1480"/>
    <mergeCell ref="E1235:F1235"/>
    <mergeCell ref="E1245:F1245"/>
    <mergeCell ref="E1240:F1240"/>
    <mergeCell ref="E1241:F1241"/>
    <mergeCell ref="E1243:F1243"/>
    <mergeCell ref="E1244:F1244"/>
    <mergeCell ref="E1242:F1242"/>
    <mergeCell ref="E1255:F1255"/>
    <mergeCell ref="E1246:F1246"/>
    <mergeCell ref="E1248:F1248"/>
    <mergeCell ref="E1249:F1249"/>
    <mergeCell ref="E1247:F1247"/>
    <mergeCell ref="E1250:F1250"/>
    <mergeCell ref="E1251:F1251"/>
    <mergeCell ref="E1253:F1253"/>
    <mergeCell ref="E1254:F1254"/>
    <mergeCell ref="E1252:F1252"/>
    <mergeCell ref="E1278:F1278"/>
    <mergeCell ref="E1271:F1271"/>
    <mergeCell ref="E1257:F1257"/>
    <mergeCell ref="E1258:F1258"/>
    <mergeCell ref="E1259:F1259"/>
    <mergeCell ref="E1272:F1272"/>
    <mergeCell ref="E1261:F1261"/>
    <mergeCell ref="E1260:F1260"/>
    <mergeCell ref="E1268:F1268"/>
    <mergeCell ref="E1279:F1279"/>
    <mergeCell ref="E1280:F1280"/>
    <mergeCell ref="E1283:F1283"/>
    <mergeCell ref="E1281:F1281"/>
    <mergeCell ref="E1450:F1450"/>
    <mergeCell ref="E1451:F1451"/>
    <mergeCell ref="E1452:F1452"/>
    <mergeCell ref="E1282:F1282"/>
    <mergeCell ref="E1285:F1285"/>
    <mergeCell ref="E1284:F1284"/>
    <mergeCell ref="E1394:F1394"/>
    <mergeCell ref="E1391:F1391"/>
    <mergeCell ref="E1442:F1442"/>
    <mergeCell ref="E1443:F1443"/>
    <mergeCell ref="E1445:F1445"/>
    <mergeCell ref="E1446:F1446"/>
    <mergeCell ref="E1447:F1447"/>
    <mergeCell ref="E1448:F1448"/>
    <mergeCell ref="E1453:F1453"/>
    <mergeCell ref="E1454:F1454"/>
    <mergeCell ref="E1455:F1455"/>
    <mergeCell ref="E1456:F1456"/>
    <mergeCell ref="E2501:F2501"/>
    <mergeCell ref="E2504:F2504"/>
    <mergeCell ref="E1457:F1457"/>
    <mergeCell ref="E1458:F1458"/>
    <mergeCell ref="E1459:F1459"/>
    <mergeCell ref="E2088:F2088"/>
    <mergeCell ref="E2418:F2418"/>
    <mergeCell ref="E2419:F2419"/>
    <mergeCell ref="E2091:F2091"/>
    <mergeCell ref="E2402:F2402"/>
    <mergeCell ref="E1462:F1462"/>
    <mergeCell ref="E1463:F1463"/>
    <mergeCell ref="E1984:F1984"/>
    <mergeCell ref="E1991:F1991"/>
    <mergeCell ref="E1766:F1766"/>
    <mergeCell ref="E1464:F1464"/>
    <mergeCell ref="E1465:F1465"/>
    <mergeCell ref="E1943:F1943"/>
    <mergeCell ref="E1944:F1944"/>
    <mergeCell ref="E1945:F1945"/>
    <mergeCell ref="E1946:F1946"/>
    <mergeCell ref="E1954:F1954"/>
    <mergeCell ref="E1266:F1266"/>
    <mergeCell ref="E1267:F1267"/>
    <mergeCell ref="E1269:F1269"/>
    <mergeCell ref="E1270:F1270"/>
    <mergeCell ref="E1643:F1643"/>
    <mergeCell ref="E1644:F1644"/>
    <mergeCell ref="E1649:F1649"/>
    <mergeCell ref="E1774:F1774"/>
    <mergeCell ref="E1998:F1998"/>
    <mergeCell ref="E1985:F1985"/>
    <mergeCell ref="E1959:F1959"/>
    <mergeCell ref="E1677:F1677"/>
    <mergeCell ref="E1978:F1978"/>
    <mergeCell ref="E1968:F1968"/>
    <mergeCell ref="E1971:F1971"/>
    <mergeCell ref="E1972:F1972"/>
    <mergeCell ref="E1973:F1973"/>
    <mergeCell ref="E1785:F1785"/>
    <mergeCell ref="E2514:F2514"/>
    <mergeCell ref="E2522:F2522"/>
    <mergeCell ref="E2515:F2515"/>
    <mergeCell ref="E2519:F2519"/>
    <mergeCell ref="E2516:F2516"/>
    <mergeCell ref="E1274:F1274"/>
    <mergeCell ref="E1275:F1275"/>
    <mergeCell ref="E4070:F4070"/>
    <mergeCell ref="E4071:F4071"/>
    <mergeCell ref="E1461:F1461"/>
    <mergeCell ref="E2552:F2552"/>
    <mergeCell ref="E2537:F2537"/>
    <mergeCell ref="E1986:F1986"/>
    <mergeCell ref="E4069:F4069"/>
    <mergeCell ref="E2548:F2548"/>
    <mergeCell ref="E4271:F4271"/>
    <mergeCell ref="E4280:F4280"/>
    <mergeCell ref="E4227:F4227"/>
    <mergeCell ref="E4244:F4244"/>
    <mergeCell ref="E4241:F4241"/>
    <mergeCell ref="E4233:F4233"/>
    <mergeCell ref="E4230:F4230"/>
    <mergeCell ref="E4229:F4229"/>
    <mergeCell ref="E4237:F4237"/>
    <mergeCell ref="E4239:F4239"/>
    <mergeCell ref="E4259:F4259"/>
    <mergeCell ref="E4277:F4277"/>
    <mergeCell ref="E4276:F4276"/>
    <mergeCell ref="E4272:F4272"/>
    <mergeCell ref="E4273:F4273"/>
    <mergeCell ref="E4274:F4274"/>
    <mergeCell ref="E4275:F4275"/>
    <mergeCell ref="E4270:F4270"/>
    <mergeCell ref="E4260:F4260"/>
    <mergeCell ref="E4261:F4261"/>
    <mergeCell ref="E4262:F4262"/>
    <mergeCell ref="E4263:F4263"/>
    <mergeCell ref="E1637:F1637"/>
    <mergeCell ref="E1638:F1638"/>
    <mergeCell ref="E4258:F4258"/>
    <mergeCell ref="E1640:F1640"/>
    <mergeCell ref="E1669:F1669"/>
    <mergeCell ref="E1670:F1670"/>
    <mergeCell ref="E1664:F1664"/>
    <mergeCell ref="E1642:F1642"/>
    <mergeCell ref="E4253:F4253"/>
    <mergeCell ref="E4254:F4254"/>
    <mergeCell ref="E4246:F4246"/>
    <mergeCell ref="E1775:F1775"/>
    <mergeCell ref="E1776:F1776"/>
    <mergeCell ref="E1786:F1786"/>
    <mergeCell ref="E4142:F4142"/>
    <mergeCell ref="E4151:F4151"/>
    <mergeCell ref="E4072:F4072"/>
    <mergeCell ref="E1990:F1990"/>
    <mergeCell ref="E1711:F1711"/>
    <mergeCell ref="E1712:F1712"/>
    <mergeCell ref="E1714:F1714"/>
    <mergeCell ref="E1701:F1701"/>
    <mergeCell ref="E1704:F1704"/>
    <mergeCell ref="E1702:F1702"/>
    <mergeCell ref="E1703:F1703"/>
    <mergeCell ref="E1730:F1730"/>
    <mergeCell ref="E1787:F1787"/>
    <mergeCell ref="E1970:F1970"/>
    <mergeCell ref="E1967:F1967"/>
    <mergeCell ref="E1969:F1969"/>
    <mergeCell ref="E1789:F1789"/>
    <mergeCell ref="E1797:F1797"/>
    <mergeCell ref="E1794:F1794"/>
    <mergeCell ref="E1958:F1958"/>
    <mergeCell ref="E1953:F1953"/>
    <mergeCell ref="E1940:F1940"/>
    <mergeCell ref="E1975:F1975"/>
    <mergeCell ref="E1976:F1976"/>
    <mergeCell ref="E1997:F1997"/>
    <mergeCell ref="E1995:F1995"/>
    <mergeCell ref="E1992:F1992"/>
    <mergeCell ref="E1989:F1989"/>
    <mergeCell ref="E1983:F1983"/>
    <mergeCell ref="E1977:F1977"/>
    <mergeCell ref="E1987:F1987"/>
    <mergeCell ref="E2467:F2467"/>
    <mergeCell ref="E2466:F2466"/>
    <mergeCell ref="E2459:F2459"/>
    <mergeCell ref="E2440:F2440"/>
    <mergeCell ref="E2447:F2447"/>
    <mergeCell ref="E2455:F2455"/>
    <mergeCell ref="E2496:F2496"/>
    <mergeCell ref="E2492:F2492"/>
    <mergeCell ref="E2493:F2493"/>
    <mergeCell ref="E2495:F2495"/>
    <mergeCell ref="E2494:F2494"/>
    <mergeCell ref="E2489:F2489"/>
    <mergeCell ref="E1988:F1988"/>
    <mergeCell ref="E1993:F1993"/>
    <mergeCell ref="E1994:F1994"/>
    <mergeCell ref="E2488:F2488"/>
    <mergeCell ref="E2463:F2463"/>
    <mergeCell ref="E2458:F2458"/>
    <mergeCell ref="E2448:F2448"/>
    <mergeCell ref="E2000:F2000"/>
    <mergeCell ref="E2001:F2001"/>
    <mergeCell ref="E2511:F2511"/>
    <mergeCell ref="E2512:F2512"/>
    <mergeCell ref="E2497:F2497"/>
    <mergeCell ref="E2505:F2505"/>
    <mergeCell ref="E2507:F2507"/>
    <mergeCell ref="E2503:F2503"/>
    <mergeCell ref="E2510:F2510"/>
    <mergeCell ref="E2506:F2506"/>
    <mergeCell ref="E2500:F2500"/>
    <mergeCell ref="E2502:F2502"/>
    <mergeCell ref="E2498:F2498"/>
    <mergeCell ref="E2499:F2499"/>
    <mergeCell ref="E4251:F4251"/>
    <mergeCell ref="E2583:F2583"/>
    <mergeCell ref="E2579:F2579"/>
    <mergeCell ref="E2584:F2584"/>
    <mergeCell ref="E2586:F2586"/>
    <mergeCell ref="E2589:F2589"/>
    <mergeCell ref="E2592:F2592"/>
    <mergeCell ref="E4247:F4247"/>
    <mergeCell ref="E4161:F4161"/>
    <mergeCell ref="E2574:F2574"/>
    <mergeCell ref="E2517:F2517"/>
    <mergeCell ref="E2518:F2518"/>
    <mergeCell ref="E2532:F2532"/>
    <mergeCell ref="E2538:F2538"/>
    <mergeCell ref="E2563:F2563"/>
    <mergeCell ref="E2566:F2566"/>
    <mergeCell ref="E2565:F2565"/>
    <mergeCell ref="E4103:F4103"/>
    <mergeCell ref="E2582:F2582"/>
    <mergeCell ref="E2588:F2588"/>
    <mergeCell ref="E2585:F2585"/>
    <mergeCell ref="E2587:F2587"/>
    <mergeCell ref="E2578:F2578"/>
    <mergeCell ref="E2580:F2580"/>
    <mergeCell ref="E2599:F2599"/>
    <mergeCell ref="E2591:F2591"/>
    <mergeCell ref="E2594:F2594"/>
    <mergeCell ref="E2590:F2590"/>
    <mergeCell ref="E2595:F2595"/>
    <mergeCell ref="E2596:F2596"/>
    <mergeCell ref="E2598:F2598"/>
    <mergeCell ref="E2597:F2597"/>
    <mergeCell ref="E2614:F2614"/>
    <mergeCell ref="E2615:F2615"/>
    <mergeCell ref="E2627:F2627"/>
    <mergeCell ref="E2619:F2619"/>
    <mergeCell ref="E2620:F2620"/>
    <mergeCell ref="E2618:F2618"/>
    <mergeCell ref="E2625:F2625"/>
    <mergeCell ref="E2616:F2616"/>
    <mergeCell ref="E2622:F2622"/>
    <mergeCell ref="E2642:F2642"/>
    <mergeCell ref="E2647:F2647"/>
    <mergeCell ref="E2656:F2656"/>
    <mergeCell ref="E2659:F2659"/>
    <mergeCell ref="E2646:F2646"/>
    <mergeCell ref="E2655:F2655"/>
    <mergeCell ref="E2610:F2610"/>
    <mergeCell ref="E2613:F2613"/>
    <mergeCell ref="E2740:F2740"/>
    <mergeCell ref="E2737:F2737"/>
    <mergeCell ref="E2739:F2739"/>
    <mergeCell ref="E2708:F2708"/>
    <mergeCell ref="E2628:F2628"/>
    <mergeCell ref="E2649:F2649"/>
    <mergeCell ref="E2650:F2650"/>
    <mergeCell ref="E2644:F2644"/>
    <mergeCell ref="E1497:F1497"/>
    <mergeCell ref="E1498:F1498"/>
    <mergeCell ref="E1499:F1499"/>
    <mergeCell ref="E1500:F1500"/>
    <mergeCell ref="E2635:F2635"/>
    <mergeCell ref="E1680:F1680"/>
    <mergeCell ref="E1690:F1690"/>
    <mergeCell ref="E1691:F1691"/>
    <mergeCell ref="E1692:F1692"/>
    <mergeCell ref="E1698:F1698"/>
    <mergeCell ref="E1705:F1705"/>
    <mergeCell ref="E1693:F1693"/>
    <mergeCell ref="E1694:F1694"/>
    <mergeCell ref="E1695:F1695"/>
    <mergeCell ref="E1605:F1605"/>
    <mergeCell ref="E2753:F2753"/>
    <mergeCell ref="E2751:F2751"/>
    <mergeCell ref="E2638:F2638"/>
    <mergeCell ref="E2750:F2750"/>
    <mergeCell ref="E2645:F2645"/>
    <mergeCell ref="E2643:F2643"/>
    <mergeCell ref="E2648:F2648"/>
    <mergeCell ref="E2652:F2652"/>
    <mergeCell ref="E2654:F2654"/>
    <mergeCell ref="E2749:F2749"/>
    <mergeCell ref="E2786:F2786"/>
    <mergeCell ref="E2784:F2784"/>
    <mergeCell ref="E2777:F2777"/>
    <mergeCell ref="E2778:F2778"/>
    <mergeCell ref="E2780:F2780"/>
    <mergeCell ref="E2756:F2756"/>
    <mergeCell ref="E2755:F2755"/>
    <mergeCell ref="E2754:F2754"/>
    <mergeCell ref="E2752:F2752"/>
    <mergeCell ref="E2741:F2741"/>
    <mergeCell ref="E2742:F2742"/>
    <mergeCell ref="E2743:F2743"/>
    <mergeCell ref="E2747:F2747"/>
    <mergeCell ref="E2746:F2746"/>
    <mergeCell ref="E2757:F2757"/>
    <mergeCell ref="E2776:F2776"/>
    <mergeCell ref="E2766:F2766"/>
    <mergeCell ref="E2767:F2767"/>
    <mergeCell ref="E2768:F2768"/>
    <mergeCell ref="E2773:F2773"/>
    <mergeCell ref="E2758:F2758"/>
    <mergeCell ref="E2760:F2760"/>
    <mergeCell ref="E2764:F2764"/>
    <mergeCell ref="E2761:F2761"/>
    <mergeCell ref="E2791:F2791"/>
    <mergeCell ref="E2789:F2789"/>
    <mergeCell ref="E2783:F2783"/>
    <mergeCell ref="E2785:F2785"/>
    <mergeCell ref="E2798:F2798"/>
    <mergeCell ref="E2799:F2799"/>
    <mergeCell ref="E2801:F2801"/>
    <mergeCell ref="E2759:F2759"/>
    <mergeCell ref="E2765:F2765"/>
    <mergeCell ref="E2787:F2787"/>
    <mergeCell ref="E2788:F2788"/>
    <mergeCell ref="E2762:F2762"/>
    <mergeCell ref="E2782:F2782"/>
    <mergeCell ref="E2790:F2790"/>
    <mergeCell ref="E2792:F2792"/>
    <mergeCell ref="E2793:F2793"/>
    <mergeCell ref="E2796:F2796"/>
    <mergeCell ref="E2797:F2797"/>
    <mergeCell ref="E2795:F2795"/>
    <mergeCell ref="E2803:F2803"/>
    <mergeCell ref="E2800:F2800"/>
    <mergeCell ref="E2807:F2807"/>
    <mergeCell ref="E2810:F2810"/>
    <mergeCell ref="E2808:F2808"/>
    <mergeCell ref="E2809:F2809"/>
    <mergeCell ref="E2804:F2804"/>
    <mergeCell ref="E2805:F2805"/>
    <mergeCell ref="E2811:F2811"/>
    <mergeCell ref="E2813:F2813"/>
    <mergeCell ref="E2818:F2818"/>
    <mergeCell ref="E2819:F2819"/>
    <mergeCell ref="E2817:F2817"/>
    <mergeCell ref="E2814:F2814"/>
    <mergeCell ref="E2812:F2812"/>
    <mergeCell ref="E2815:F2815"/>
    <mergeCell ref="E2816:F2816"/>
    <mergeCell ref="E2834:F2834"/>
    <mergeCell ref="E2832:F2832"/>
    <mergeCell ref="E2820:F2820"/>
    <mergeCell ref="E2821:F2821"/>
    <mergeCell ref="E2823:F2823"/>
    <mergeCell ref="E2824:F2824"/>
    <mergeCell ref="E2822:F2822"/>
    <mergeCell ref="E2825:F2825"/>
    <mergeCell ref="E2841:F2841"/>
    <mergeCell ref="E2843:F2843"/>
    <mergeCell ref="E2826:F2826"/>
    <mergeCell ref="E2828:F2828"/>
    <mergeCell ref="E2829:F2829"/>
    <mergeCell ref="E2827:F2827"/>
    <mergeCell ref="E2830:F2830"/>
    <mergeCell ref="E2835:F2835"/>
    <mergeCell ref="E2831:F2831"/>
    <mergeCell ref="E2833:F2833"/>
    <mergeCell ref="E2858:F2858"/>
    <mergeCell ref="E2859:F2859"/>
    <mergeCell ref="E2860:F2860"/>
    <mergeCell ref="E2836:F2836"/>
    <mergeCell ref="E2837:F2837"/>
    <mergeCell ref="E2845:F2845"/>
    <mergeCell ref="E2844:F2844"/>
    <mergeCell ref="E2839:F2839"/>
    <mergeCell ref="E2840:F2840"/>
    <mergeCell ref="E2842:F2842"/>
    <mergeCell ref="E2846:F2846"/>
    <mergeCell ref="E2847:F2847"/>
    <mergeCell ref="E2848:F2848"/>
    <mergeCell ref="E2857:F2857"/>
    <mergeCell ref="E2849:F2849"/>
    <mergeCell ref="E2856:F2856"/>
    <mergeCell ref="E2850:F2850"/>
    <mergeCell ref="E2851:F2851"/>
    <mergeCell ref="E2852:F2852"/>
    <mergeCell ref="E2854:F2854"/>
    <mergeCell ref="E2871:F2871"/>
    <mergeCell ref="E2877:F2877"/>
    <mergeCell ref="E2879:F2879"/>
    <mergeCell ref="E2873:F2873"/>
    <mergeCell ref="E2872:F2872"/>
    <mergeCell ref="E2874:F2874"/>
    <mergeCell ref="E2861:F2861"/>
    <mergeCell ref="E2862:F2862"/>
    <mergeCell ref="E2863:F2863"/>
    <mergeCell ref="E2868:F2868"/>
    <mergeCell ref="E2864:F2864"/>
    <mergeCell ref="E2865:F2865"/>
    <mergeCell ref="E2867:F2867"/>
    <mergeCell ref="E2869:F2869"/>
    <mergeCell ref="E2870:F2870"/>
    <mergeCell ref="E2929:F2929"/>
    <mergeCell ref="E2884:F2884"/>
    <mergeCell ref="E2875:F2875"/>
    <mergeCell ref="E2913:F2913"/>
    <mergeCell ref="E2916:F2916"/>
    <mergeCell ref="E2880:F2880"/>
    <mergeCell ref="E2876:F2876"/>
    <mergeCell ref="E2878:F2878"/>
    <mergeCell ref="E2927:F2927"/>
    <mergeCell ref="E3012:F3012"/>
    <mergeCell ref="E2970:F2970"/>
    <mergeCell ref="E3031:F3031"/>
    <mergeCell ref="E2981:F2981"/>
    <mergeCell ref="E2986:F2986"/>
    <mergeCell ref="E3005:F3005"/>
    <mergeCell ref="E3007:F3007"/>
    <mergeCell ref="E3003:F3003"/>
    <mergeCell ref="E3004:F3004"/>
    <mergeCell ref="E3061:F3061"/>
    <mergeCell ref="E3059:F3059"/>
    <mergeCell ref="E2882:F2882"/>
    <mergeCell ref="E2881:F2881"/>
    <mergeCell ref="E3046:F3046"/>
    <mergeCell ref="E3043:F3043"/>
    <mergeCell ref="E2935:F2935"/>
    <mergeCell ref="E2930:F2930"/>
    <mergeCell ref="E2924:F2924"/>
    <mergeCell ref="E2926:F2926"/>
    <mergeCell ref="E3102:F3102"/>
    <mergeCell ref="E3094:F3094"/>
    <mergeCell ref="E3040:F3040"/>
    <mergeCell ref="E3044:F3044"/>
    <mergeCell ref="E3064:F3064"/>
    <mergeCell ref="E3049:F3049"/>
    <mergeCell ref="E3050:F3050"/>
    <mergeCell ref="E3042:F3042"/>
    <mergeCell ref="E3047:F3047"/>
    <mergeCell ref="E3045:F3045"/>
    <mergeCell ref="E3097:F3097"/>
    <mergeCell ref="E3087:F3087"/>
    <mergeCell ref="E3099:F3099"/>
    <mergeCell ref="E3100:F3100"/>
    <mergeCell ref="E3091:F3091"/>
    <mergeCell ref="E3090:F3090"/>
    <mergeCell ref="E3093:F3093"/>
    <mergeCell ref="E3098:F3098"/>
    <mergeCell ref="E3066:F3066"/>
    <mergeCell ref="E3062:F3062"/>
    <mergeCell ref="E3083:F3083"/>
    <mergeCell ref="E3088:F3088"/>
    <mergeCell ref="E3082:F3082"/>
    <mergeCell ref="E3063:F3063"/>
    <mergeCell ref="E3085:F3085"/>
    <mergeCell ref="E3086:F3086"/>
    <mergeCell ref="E3122:F3122"/>
    <mergeCell ref="E3104:F3104"/>
    <mergeCell ref="E3080:F3080"/>
    <mergeCell ref="E3058:F3058"/>
    <mergeCell ref="E3078:F3078"/>
    <mergeCell ref="E3075:F3075"/>
    <mergeCell ref="E3074:F3074"/>
    <mergeCell ref="E3065:F3065"/>
    <mergeCell ref="E3068:F3068"/>
    <mergeCell ref="E3069:F3069"/>
    <mergeCell ref="E3021:F3021"/>
    <mergeCell ref="E3018:F3018"/>
    <mergeCell ref="E3022:F3022"/>
    <mergeCell ref="E3125:F3125"/>
    <mergeCell ref="E3110:F3110"/>
    <mergeCell ref="E3109:F3109"/>
    <mergeCell ref="E3055:F3055"/>
    <mergeCell ref="E3057:F3057"/>
    <mergeCell ref="E3056:F3056"/>
    <mergeCell ref="E3121:F3121"/>
    <mergeCell ref="E3139:F3139"/>
    <mergeCell ref="E3133:F3133"/>
    <mergeCell ref="E3134:F3134"/>
    <mergeCell ref="E3137:F3137"/>
    <mergeCell ref="E3135:F3135"/>
    <mergeCell ref="E2959:F2959"/>
    <mergeCell ref="E2952:F2952"/>
    <mergeCell ref="E2954:F2954"/>
    <mergeCell ref="E2957:F2957"/>
    <mergeCell ref="E2953:F2953"/>
    <mergeCell ref="E2956:F2956"/>
    <mergeCell ref="E2946:F2946"/>
    <mergeCell ref="E2945:F2945"/>
    <mergeCell ref="E2915:F2915"/>
    <mergeCell ref="E2941:F2941"/>
    <mergeCell ref="E2943:F2943"/>
    <mergeCell ref="E2938:F2938"/>
    <mergeCell ref="E2936:F2936"/>
    <mergeCell ref="E2940:F2940"/>
    <mergeCell ref="E2939:F2939"/>
    <mergeCell ref="E2932:F2932"/>
    <mergeCell ref="E2963:F2963"/>
    <mergeCell ref="E2960:F2960"/>
    <mergeCell ref="E2961:F2961"/>
    <mergeCell ref="E2969:F2969"/>
    <mergeCell ref="E2962:F2962"/>
    <mergeCell ref="E3016:F3016"/>
    <mergeCell ref="E2976:F2976"/>
    <mergeCell ref="E2983:F2983"/>
    <mergeCell ref="E2973:F2973"/>
    <mergeCell ref="E3001:F3001"/>
    <mergeCell ref="E3002:F3002"/>
    <mergeCell ref="E3009:F3009"/>
    <mergeCell ref="E3013:F3013"/>
    <mergeCell ref="E2974:F2974"/>
    <mergeCell ref="E2999:F2999"/>
    <mergeCell ref="E3008:F3008"/>
    <mergeCell ref="E3010:F3010"/>
    <mergeCell ref="E3015:F3015"/>
    <mergeCell ref="E2931:F2931"/>
    <mergeCell ref="E2948:F2948"/>
    <mergeCell ref="E2967:F2967"/>
    <mergeCell ref="E2966:F2966"/>
    <mergeCell ref="E2965:F2965"/>
    <mergeCell ref="E2964:F2964"/>
    <mergeCell ref="E2949:F2949"/>
    <mergeCell ref="E2987:F2987"/>
    <mergeCell ref="E2980:F2980"/>
    <mergeCell ref="E2982:F2982"/>
    <mergeCell ref="E2975:F2975"/>
    <mergeCell ref="E2985:F2985"/>
    <mergeCell ref="E2978:F2978"/>
    <mergeCell ref="E2977:F2977"/>
    <mergeCell ref="E2984:F2984"/>
    <mergeCell ref="E2979:F2979"/>
    <mergeCell ref="E2933:F2933"/>
    <mergeCell ref="E2934:F2934"/>
    <mergeCell ref="E2958:F2958"/>
    <mergeCell ref="E2972:F2972"/>
    <mergeCell ref="E2942:F2942"/>
    <mergeCell ref="E2937:F2937"/>
    <mergeCell ref="E2950:F2950"/>
    <mergeCell ref="E2947:F2947"/>
    <mergeCell ref="E2944:F2944"/>
    <mergeCell ref="E2968:F2968"/>
    <mergeCell ref="E2989:F2989"/>
    <mergeCell ref="E2990:F2990"/>
    <mergeCell ref="E2998:F2998"/>
    <mergeCell ref="E3020:F3020"/>
    <mergeCell ref="E3019:F3019"/>
    <mergeCell ref="E2996:F2996"/>
    <mergeCell ref="E3000:F3000"/>
    <mergeCell ref="E2997:F2997"/>
    <mergeCell ref="E3006:F3006"/>
    <mergeCell ref="E3017:F3017"/>
    <mergeCell ref="E3024:F3024"/>
    <mergeCell ref="E3035:F3035"/>
    <mergeCell ref="E3032:F3032"/>
    <mergeCell ref="E3027:F3027"/>
    <mergeCell ref="E3034:F3034"/>
    <mergeCell ref="E3033:F3033"/>
    <mergeCell ref="E3023:F3023"/>
    <mergeCell ref="E3025:F3025"/>
    <mergeCell ref="E3140:F3140"/>
    <mergeCell ref="E3128:F3128"/>
    <mergeCell ref="E3129:F3129"/>
    <mergeCell ref="E3039:F3039"/>
    <mergeCell ref="E3030:F3030"/>
    <mergeCell ref="E3029:F3029"/>
    <mergeCell ref="E3028:F3028"/>
    <mergeCell ref="E3036:F3036"/>
    <mergeCell ref="E3151:F3151"/>
    <mergeCell ref="E2988:F2988"/>
    <mergeCell ref="E2992:F2992"/>
    <mergeCell ref="E2993:F2993"/>
    <mergeCell ref="E2991:F2991"/>
    <mergeCell ref="E3037:F3037"/>
    <mergeCell ref="E3136:F3136"/>
    <mergeCell ref="E3138:F3138"/>
    <mergeCell ref="E3038:F3038"/>
    <mergeCell ref="E3130:F3130"/>
    <mergeCell ref="E3143:F3143"/>
    <mergeCell ref="E3193:F3193"/>
    <mergeCell ref="E3191:F3191"/>
    <mergeCell ref="E3159:F3159"/>
    <mergeCell ref="E3146:F3146"/>
    <mergeCell ref="E3148:F3148"/>
    <mergeCell ref="E3147:F3147"/>
    <mergeCell ref="E3149:F3149"/>
    <mergeCell ref="E3160:F3160"/>
    <mergeCell ref="E3163:F3163"/>
    <mergeCell ref="E2994:F2994"/>
    <mergeCell ref="E3190:F3190"/>
    <mergeCell ref="E3179:F3179"/>
    <mergeCell ref="E3185:F3185"/>
    <mergeCell ref="E3168:F3168"/>
    <mergeCell ref="E3169:F3169"/>
    <mergeCell ref="E3165:F3165"/>
    <mergeCell ref="E3167:F3167"/>
    <mergeCell ref="E3166:F3166"/>
    <mergeCell ref="E3175:F3175"/>
    <mergeCell ref="E3174:F3174"/>
    <mergeCell ref="E3194:F3194"/>
    <mergeCell ref="E3182:F3182"/>
    <mergeCell ref="E3238:F3238"/>
    <mergeCell ref="E3202:F3202"/>
    <mergeCell ref="E3203:F3203"/>
    <mergeCell ref="E3229:F3229"/>
    <mergeCell ref="E3228:F3228"/>
    <mergeCell ref="E3234:F3234"/>
    <mergeCell ref="E3235:F3235"/>
    <mergeCell ref="E3240:F3240"/>
    <mergeCell ref="E3241:F3241"/>
    <mergeCell ref="E3186:F3186"/>
    <mergeCell ref="E3195:F3195"/>
    <mergeCell ref="E3204:F3204"/>
    <mergeCell ref="E3196:F3196"/>
    <mergeCell ref="E3197:F3197"/>
    <mergeCell ref="E3198:F3198"/>
    <mergeCell ref="E3199:F3199"/>
    <mergeCell ref="E3220:F3220"/>
    <mergeCell ref="E3246:F3246"/>
    <mergeCell ref="E3269:F3269"/>
    <mergeCell ref="E3261:F3261"/>
    <mergeCell ref="E3262:F3262"/>
    <mergeCell ref="E3259:F3259"/>
    <mergeCell ref="E3264:F3264"/>
    <mergeCell ref="E3250:F3250"/>
    <mergeCell ref="E3251:F3251"/>
    <mergeCell ref="E3265:F3265"/>
    <mergeCell ref="E3254:F3254"/>
    <mergeCell ref="E3253:F3253"/>
    <mergeCell ref="E3270:F3270"/>
    <mergeCell ref="E3283:F3283"/>
    <mergeCell ref="E3285:F3285"/>
    <mergeCell ref="E3284:F3284"/>
    <mergeCell ref="E3272:F3272"/>
    <mergeCell ref="E3281:F3281"/>
    <mergeCell ref="E3276:F3276"/>
    <mergeCell ref="E3275:F3275"/>
    <mergeCell ref="E3273:F3273"/>
    <mergeCell ref="E3279:F3279"/>
    <mergeCell ref="E3280:F3280"/>
    <mergeCell ref="E3286:F3286"/>
    <mergeCell ref="E3287:F3287"/>
    <mergeCell ref="E3288:F3288"/>
    <mergeCell ref="E3290:F3290"/>
    <mergeCell ref="E3296:F3296"/>
    <mergeCell ref="E3302:F3302"/>
    <mergeCell ref="E3297:F3297"/>
    <mergeCell ref="E3298:F3298"/>
    <mergeCell ref="E3299:F3299"/>
    <mergeCell ref="E3300:F3300"/>
    <mergeCell ref="E3364:F3364"/>
    <mergeCell ref="E3359:F3359"/>
    <mergeCell ref="E3360:F3360"/>
    <mergeCell ref="E3365:F3365"/>
    <mergeCell ref="E3363:F3363"/>
    <mergeCell ref="E3351:F3351"/>
    <mergeCell ref="E3339:F3339"/>
    <mergeCell ref="E3341:F3341"/>
    <mergeCell ref="E3326:F3326"/>
    <mergeCell ref="E3329:F3329"/>
    <mergeCell ref="E3332:F3332"/>
    <mergeCell ref="E3328:F3328"/>
    <mergeCell ref="E3327:F3327"/>
    <mergeCell ref="E3336:F3336"/>
    <mergeCell ref="E3338:F3338"/>
    <mergeCell ref="E3388:F3388"/>
    <mergeCell ref="E3353:F3353"/>
    <mergeCell ref="E3340:F3340"/>
    <mergeCell ref="E3345:F3345"/>
    <mergeCell ref="E3354:F3354"/>
    <mergeCell ref="E3355:F3355"/>
    <mergeCell ref="E3342:F3342"/>
    <mergeCell ref="E3368:F3368"/>
    <mergeCell ref="E3347:F3347"/>
    <mergeCell ref="E3346:F3346"/>
    <mergeCell ref="E3387:F3387"/>
    <mergeCell ref="E3371:F3371"/>
    <mergeCell ref="E3382:F3382"/>
    <mergeCell ref="E3383:F3383"/>
    <mergeCell ref="E3380:F3380"/>
    <mergeCell ref="E3377:F3377"/>
    <mergeCell ref="E3372:F3372"/>
    <mergeCell ref="E3374:F3374"/>
    <mergeCell ref="E3373:F3373"/>
    <mergeCell ref="E3381:F3381"/>
    <mergeCell ref="E3384:F3384"/>
    <mergeCell ref="E3378:F3378"/>
    <mergeCell ref="E3417:F3417"/>
    <mergeCell ref="E3397:F3397"/>
    <mergeCell ref="E3398:F3398"/>
    <mergeCell ref="E3401:F3401"/>
    <mergeCell ref="E3394:F3394"/>
    <mergeCell ref="E3385:F3385"/>
    <mergeCell ref="E3386:F3386"/>
    <mergeCell ref="E3389:F3389"/>
    <mergeCell ref="E3399:F3399"/>
    <mergeCell ref="E3400:F3400"/>
    <mergeCell ref="E3402:F3402"/>
    <mergeCell ref="E3403:F3403"/>
    <mergeCell ref="E3436:F3436"/>
    <mergeCell ref="E3440:F3440"/>
    <mergeCell ref="E3435:F3435"/>
    <mergeCell ref="E3404:F3404"/>
    <mergeCell ref="E3406:F3406"/>
    <mergeCell ref="E3407:F3407"/>
    <mergeCell ref="E3408:F3408"/>
    <mergeCell ref="E3413:F3413"/>
    <mergeCell ref="E3415:F3415"/>
    <mergeCell ref="E3414:F3414"/>
    <mergeCell ref="E3426:F3426"/>
    <mergeCell ref="E3425:F3425"/>
    <mergeCell ref="E3433:F3433"/>
    <mergeCell ref="E3437:F3437"/>
    <mergeCell ref="E3427:F3427"/>
    <mergeCell ref="E3428:F3428"/>
    <mergeCell ref="E3429:F3429"/>
    <mergeCell ref="E3431:F3431"/>
    <mergeCell ref="E3430:F3430"/>
    <mergeCell ref="E3434:F3434"/>
    <mergeCell ref="E3445:F3445"/>
    <mergeCell ref="E3446:F3446"/>
    <mergeCell ref="E3452:F3452"/>
    <mergeCell ref="E3448:F3448"/>
    <mergeCell ref="E3443:F3443"/>
    <mergeCell ref="E3458:F3458"/>
    <mergeCell ref="E3459:F3459"/>
    <mergeCell ref="E3453:F3453"/>
    <mergeCell ref="E3454:F3454"/>
    <mergeCell ref="E3450:F3450"/>
    <mergeCell ref="E3451:F3451"/>
    <mergeCell ref="E3449:F3449"/>
    <mergeCell ref="E3447:F3447"/>
    <mergeCell ref="E3444:F3444"/>
    <mergeCell ref="E3460:F3460"/>
    <mergeCell ref="E3461:F3461"/>
    <mergeCell ref="E3463:F3463"/>
    <mergeCell ref="E3469:F3469"/>
    <mergeCell ref="E3464:F3464"/>
    <mergeCell ref="E3462:F3462"/>
    <mergeCell ref="E3466:F3466"/>
    <mergeCell ref="E3468:F3468"/>
    <mergeCell ref="E3467:F3467"/>
    <mergeCell ref="E3479:F3479"/>
    <mergeCell ref="E3485:F3485"/>
    <mergeCell ref="E3480:F3480"/>
    <mergeCell ref="E3482:F3482"/>
    <mergeCell ref="E3483:F3483"/>
    <mergeCell ref="E3484:F3484"/>
    <mergeCell ref="E3470:F3470"/>
    <mergeCell ref="E3478:F3478"/>
    <mergeCell ref="E3474:F3474"/>
    <mergeCell ref="E3475:F3475"/>
    <mergeCell ref="E3476:F3476"/>
    <mergeCell ref="E3473:F3473"/>
    <mergeCell ref="E3472:F3472"/>
    <mergeCell ref="E3471:F3471"/>
    <mergeCell ref="E3493:F3493"/>
    <mergeCell ref="E3494:F3494"/>
    <mergeCell ref="E3510:F3510"/>
    <mergeCell ref="E3512:F3512"/>
    <mergeCell ref="E3495:F3495"/>
    <mergeCell ref="E3496:F3496"/>
    <mergeCell ref="E3497:F3497"/>
    <mergeCell ref="E3501:F3501"/>
    <mergeCell ref="E3503:F3503"/>
    <mergeCell ref="E3502:F3502"/>
    <mergeCell ref="E3529:F3529"/>
    <mergeCell ref="E3523:F3523"/>
    <mergeCell ref="E3525:F3525"/>
    <mergeCell ref="E3526:F3526"/>
    <mergeCell ref="E3527:F3527"/>
    <mergeCell ref="E3524:F3524"/>
    <mergeCell ref="E3535:F3535"/>
    <mergeCell ref="E3536:F3536"/>
    <mergeCell ref="E3537:F3537"/>
    <mergeCell ref="E3530:F3530"/>
    <mergeCell ref="E3534:F3534"/>
    <mergeCell ref="E3533:F3533"/>
    <mergeCell ref="E3531:F3531"/>
    <mergeCell ref="E3549:F3549"/>
    <mergeCell ref="E3546:F3546"/>
    <mergeCell ref="E3545:F3545"/>
    <mergeCell ref="E3550:F3550"/>
    <mergeCell ref="E3566:F3566"/>
    <mergeCell ref="E3554:F3554"/>
    <mergeCell ref="E3555:F3555"/>
    <mergeCell ref="E3556:F3556"/>
    <mergeCell ref="E3557:F3557"/>
    <mergeCell ref="E3558:F3558"/>
    <mergeCell ref="E3559:F3559"/>
    <mergeCell ref="E3561:F3561"/>
    <mergeCell ref="E3562:F3562"/>
    <mergeCell ref="E3560:F3560"/>
    <mergeCell ref="E3563:F3563"/>
    <mergeCell ref="E3573:F3573"/>
    <mergeCell ref="E3568:F3568"/>
    <mergeCell ref="E3569:F3569"/>
    <mergeCell ref="E3565:F3565"/>
    <mergeCell ref="E3570:F3570"/>
    <mergeCell ref="E3571:F3571"/>
    <mergeCell ref="E3572:F3572"/>
    <mergeCell ref="E3564:F3564"/>
    <mergeCell ref="E3585:F3585"/>
    <mergeCell ref="E3587:F3587"/>
    <mergeCell ref="E3588:F3588"/>
    <mergeCell ref="E3625:F3625"/>
    <mergeCell ref="E3598:F3598"/>
    <mergeCell ref="E3597:F3597"/>
    <mergeCell ref="E3605:F3605"/>
    <mergeCell ref="E3622:F3622"/>
    <mergeCell ref="E3607:F3607"/>
    <mergeCell ref="E3610:F3610"/>
    <mergeCell ref="E3611:F3611"/>
    <mergeCell ref="E3603:F3603"/>
    <mergeCell ref="E3604:F3604"/>
    <mergeCell ref="E3596:F3596"/>
    <mergeCell ref="E3600:F3600"/>
    <mergeCell ref="E3601:F3601"/>
    <mergeCell ref="E3602:F3602"/>
    <mergeCell ref="E3606:F3606"/>
    <mergeCell ref="E3608:F3608"/>
    <mergeCell ref="E3609:F3609"/>
    <mergeCell ref="E3612:F3612"/>
    <mergeCell ref="E3614:F3614"/>
    <mergeCell ref="E3616:F3616"/>
    <mergeCell ref="E3626:F3626"/>
    <mergeCell ref="E3623:F3623"/>
    <mergeCell ref="E3619:F3619"/>
    <mergeCell ref="E3613:F3613"/>
    <mergeCell ref="E3620:F3620"/>
    <mergeCell ref="E3624:F3624"/>
    <mergeCell ref="E3615:F3615"/>
    <mergeCell ref="E3647:F3647"/>
    <mergeCell ref="E3648:F3648"/>
    <mergeCell ref="E3655:F3655"/>
    <mergeCell ref="E3649:F3649"/>
    <mergeCell ref="E3654:F3654"/>
    <mergeCell ref="E3653:F3653"/>
    <mergeCell ref="E3633:F3633"/>
    <mergeCell ref="E3634:F3634"/>
    <mergeCell ref="E3631:F3631"/>
    <mergeCell ref="E3644:F3644"/>
    <mergeCell ref="E3643:F3643"/>
    <mergeCell ref="E3637:F3637"/>
    <mergeCell ref="E3638:F3638"/>
    <mergeCell ref="E3642:F3642"/>
    <mergeCell ref="E3641:F3641"/>
    <mergeCell ref="E3669:F3669"/>
    <mergeCell ref="E3673:F3673"/>
    <mergeCell ref="E3684:F3684"/>
    <mergeCell ref="E3675:F3675"/>
    <mergeCell ref="E3674:F3674"/>
    <mergeCell ref="E3682:F3682"/>
    <mergeCell ref="E3683:F3683"/>
    <mergeCell ref="E3681:F3681"/>
    <mergeCell ref="E3685:F3685"/>
    <mergeCell ref="E3670:F3670"/>
    <mergeCell ref="E3671:F3671"/>
    <mergeCell ref="E3672:F3672"/>
    <mergeCell ref="E3676:F3676"/>
    <mergeCell ref="E3677:F3677"/>
    <mergeCell ref="E3680:F3680"/>
    <mergeCell ref="E3678:F3678"/>
    <mergeCell ref="E3679:F3679"/>
    <mergeCell ref="E3687:F3687"/>
    <mergeCell ref="E3686:F3686"/>
    <mergeCell ref="E3699:F3699"/>
    <mergeCell ref="E3696:F3696"/>
    <mergeCell ref="E3698:F3698"/>
    <mergeCell ref="E3695:F3695"/>
    <mergeCell ref="E3697:F3697"/>
    <mergeCell ref="E3692:F3692"/>
    <mergeCell ref="E3688:F3688"/>
    <mergeCell ref="E3690:F3690"/>
    <mergeCell ref="E3711:F3711"/>
    <mergeCell ref="E3703:F3703"/>
    <mergeCell ref="E3706:F3706"/>
    <mergeCell ref="E3707:F3707"/>
    <mergeCell ref="E3705:F3705"/>
    <mergeCell ref="E3710:F3710"/>
    <mergeCell ref="E3704:F3704"/>
    <mergeCell ref="E3708:F3708"/>
    <mergeCell ref="E3691:F3691"/>
    <mergeCell ref="E3694:F3694"/>
    <mergeCell ref="E3693:F3693"/>
    <mergeCell ref="E3701:F3701"/>
    <mergeCell ref="E3700:F3700"/>
    <mergeCell ref="E3729:F3729"/>
    <mergeCell ref="E3719:F3719"/>
    <mergeCell ref="E3714:F3714"/>
    <mergeCell ref="E3717:F3717"/>
    <mergeCell ref="E3723:F3723"/>
    <mergeCell ref="E3720:F3720"/>
    <mergeCell ref="E3718:F3718"/>
    <mergeCell ref="E3721:F3721"/>
    <mergeCell ref="E3722:F3722"/>
    <mergeCell ref="E3724:F3724"/>
    <mergeCell ref="E3726:F3726"/>
    <mergeCell ref="E3728:F3728"/>
    <mergeCell ref="E3727:F3727"/>
    <mergeCell ref="E3725:F3725"/>
    <mergeCell ref="E3741:F3741"/>
    <mergeCell ref="E3743:F3743"/>
    <mergeCell ref="E3730:F3730"/>
    <mergeCell ref="E3732:F3732"/>
    <mergeCell ref="E3733:F3733"/>
    <mergeCell ref="E3731:F3731"/>
    <mergeCell ref="E3734:F3734"/>
    <mergeCell ref="E3735:F3735"/>
    <mergeCell ref="E3737:F3737"/>
    <mergeCell ref="E3739:F3739"/>
    <mergeCell ref="E3736:F3736"/>
    <mergeCell ref="E3740:F3740"/>
    <mergeCell ref="E3749:F3749"/>
    <mergeCell ref="E3750:F3750"/>
    <mergeCell ref="E3747:F3747"/>
    <mergeCell ref="E3748:F3748"/>
    <mergeCell ref="E3744:F3744"/>
    <mergeCell ref="E3742:F3742"/>
    <mergeCell ref="E3745:F3745"/>
    <mergeCell ref="E3746:F3746"/>
    <mergeCell ref="E3772:F3772"/>
    <mergeCell ref="E3751:F3751"/>
    <mergeCell ref="E3752:F3752"/>
    <mergeCell ref="E3754:F3754"/>
    <mergeCell ref="E3755:F3755"/>
    <mergeCell ref="E3753:F3753"/>
    <mergeCell ref="E3756:F3756"/>
    <mergeCell ref="E3761:F3761"/>
    <mergeCell ref="E3762:F3762"/>
    <mergeCell ref="E3764:F3764"/>
    <mergeCell ref="E3783:F3783"/>
    <mergeCell ref="E3757:F3757"/>
    <mergeCell ref="E3759:F3759"/>
    <mergeCell ref="E3760:F3760"/>
    <mergeCell ref="E3758:F3758"/>
    <mergeCell ref="E3776:F3776"/>
    <mergeCell ref="E3777:F3777"/>
    <mergeCell ref="E3767:F3767"/>
    <mergeCell ref="E3770:F3770"/>
    <mergeCell ref="E3771:F3771"/>
    <mergeCell ref="E3778:F3778"/>
    <mergeCell ref="E3780:F3780"/>
    <mergeCell ref="E3781:F3781"/>
    <mergeCell ref="E3782:F3782"/>
    <mergeCell ref="E3779:F3779"/>
    <mergeCell ref="E3784:F3784"/>
    <mergeCell ref="E3800:F3800"/>
    <mergeCell ref="E3790:F3790"/>
    <mergeCell ref="E3792:F3792"/>
    <mergeCell ref="E3793:F3793"/>
    <mergeCell ref="E3794:F3794"/>
    <mergeCell ref="E3791:F3791"/>
    <mergeCell ref="E3789:F3789"/>
    <mergeCell ref="E3785:F3785"/>
    <mergeCell ref="E3786:F3786"/>
    <mergeCell ref="E3787:F3787"/>
    <mergeCell ref="E3812:F3812"/>
    <mergeCell ref="E3807:F3807"/>
    <mergeCell ref="E3801:F3801"/>
    <mergeCell ref="E3802:F3802"/>
    <mergeCell ref="E3803:F3803"/>
    <mergeCell ref="E3804:F3804"/>
    <mergeCell ref="E3805:F3805"/>
    <mergeCell ref="E3809:F3809"/>
    <mergeCell ref="E3815:F3815"/>
    <mergeCell ref="E3813:F3813"/>
    <mergeCell ref="E3814:F3814"/>
    <mergeCell ref="E3795:F3795"/>
    <mergeCell ref="E3796:F3796"/>
    <mergeCell ref="E3798:F3798"/>
    <mergeCell ref="E3799:F3799"/>
    <mergeCell ref="E3797:F3797"/>
    <mergeCell ref="E3810:F3810"/>
    <mergeCell ref="E3832:F3832"/>
    <mergeCell ref="E3816:F3816"/>
    <mergeCell ref="E3833:F3833"/>
    <mergeCell ref="E3835:F3835"/>
    <mergeCell ref="E3830:F3830"/>
    <mergeCell ref="E3831:F3831"/>
    <mergeCell ref="E3817:F3817"/>
    <mergeCell ref="E3821:F3821"/>
    <mergeCell ref="E3818:F3818"/>
    <mergeCell ref="E3828:F3828"/>
    <mergeCell ref="E3895:F3895"/>
    <mergeCell ref="E3892:F3892"/>
    <mergeCell ref="E3890:F3890"/>
    <mergeCell ref="E3855:F3855"/>
    <mergeCell ref="E3856:F3856"/>
    <mergeCell ref="E3858:F3858"/>
    <mergeCell ref="E3859:F3859"/>
    <mergeCell ref="E3857:F3857"/>
    <mergeCell ref="E3870:F3870"/>
    <mergeCell ref="E3871:F3871"/>
    <mergeCell ref="E3866:F3866"/>
    <mergeCell ref="E3868:F3868"/>
    <mergeCell ref="E3867:F3867"/>
    <mergeCell ref="E3886:F3886"/>
    <mergeCell ref="E3874:F3874"/>
    <mergeCell ref="E3875:F3875"/>
    <mergeCell ref="E3877:F3877"/>
    <mergeCell ref="E3881:F3881"/>
    <mergeCell ref="E3872:F3872"/>
    <mergeCell ref="E3878:F3878"/>
    <mergeCell ref="E3896:F3896"/>
    <mergeCell ref="E3905:F3905"/>
    <mergeCell ref="E3914:F3914"/>
    <mergeCell ref="E3885:F3885"/>
    <mergeCell ref="E3894:F3894"/>
    <mergeCell ref="E3897:F3897"/>
    <mergeCell ref="E3891:F3891"/>
    <mergeCell ref="E3887:F3887"/>
    <mergeCell ref="E3888:F3888"/>
    <mergeCell ref="E3889:F3889"/>
    <mergeCell ref="E3899:F3899"/>
    <mergeCell ref="E3901:F3901"/>
    <mergeCell ref="E3900:F3900"/>
    <mergeCell ref="E3903:F3903"/>
    <mergeCell ref="E3913:F3913"/>
    <mergeCell ref="E3912:F3912"/>
    <mergeCell ref="E3915:F3915"/>
    <mergeCell ref="E3922:F3922"/>
    <mergeCell ref="E3923:F3923"/>
    <mergeCell ref="E3925:F3925"/>
    <mergeCell ref="E3935:F3935"/>
    <mergeCell ref="E3928:F3928"/>
    <mergeCell ref="E3930:F3930"/>
    <mergeCell ref="E3927:F3927"/>
    <mergeCell ref="E3926:F3926"/>
    <mergeCell ref="E3932:F3932"/>
    <mergeCell ref="E3931:F3931"/>
    <mergeCell ref="E3943:F3943"/>
    <mergeCell ref="E3944:F3944"/>
    <mergeCell ref="E3941:F3941"/>
    <mergeCell ref="E3933:F3933"/>
    <mergeCell ref="E3939:F3939"/>
    <mergeCell ref="E3937:F3937"/>
    <mergeCell ref="E3938:F3938"/>
    <mergeCell ref="E3940:F3940"/>
    <mergeCell ref="E3942:F3942"/>
    <mergeCell ref="E3934:F3934"/>
    <mergeCell ref="E3951:F3951"/>
    <mergeCell ref="E3952:F3952"/>
    <mergeCell ref="E3953:F3953"/>
    <mergeCell ref="E3954:F3954"/>
    <mergeCell ref="E3945:F3945"/>
    <mergeCell ref="E3946:F3946"/>
    <mergeCell ref="E3947:F3947"/>
    <mergeCell ref="E3948:F3948"/>
    <mergeCell ref="E3969:F3969"/>
    <mergeCell ref="E3971:F3971"/>
    <mergeCell ref="E3959:F3959"/>
    <mergeCell ref="E3961:F3961"/>
    <mergeCell ref="E3967:F3967"/>
    <mergeCell ref="E3968:F3968"/>
    <mergeCell ref="E3956:F3956"/>
    <mergeCell ref="E3960:F3960"/>
    <mergeCell ref="E3965:F3965"/>
    <mergeCell ref="E3957:F3957"/>
    <mergeCell ref="E3983:F3983"/>
    <mergeCell ref="E3972:F3972"/>
    <mergeCell ref="E3973:F3973"/>
    <mergeCell ref="E3970:F3970"/>
    <mergeCell ref="E3976:F3976"/>
    <mergeCell ref="E3977:F3977"/>
    <mergeCell ref="E3975:F3975"/>
    <mergeCell ref="E3978:F3978"/>
    <mergeCell ref="E3979:F3979"/>
    <mergeCell ref="E3981:F3981"/>
    <mergeCell ref="E3982:F3982"/>
    <mergeCell ref="E3980:F3980"/>
    <mergeCell ref="E3995:F3995"/>
    <mergeCell ref="E3997:F3997"/>
    <mergeCell ref="E3984:F3984"/>
    <mergeCell ref="E3986:F3986"/>
    <mergeCell ref="E3987:F3987"/>
    <mergeCell ref="E3985:F3985"/>
    <mergeCell ref="E3988:F3988"/>
    <mergeCell ref="E3989:F3989"/>
    <mergeCell ref="E3991:F3991"/>
    <mergeCell ref="E3993:F3993"/>
    <mergeCell ref="E3990:F3990"/>
    <mergeCell ref="E3994:F3994"/>
    <mergeCell ref="E4012:F4012"/>
    <mergeCell ref="E4011:F4011"/>
    <mergeCell ref="E3998:F3998"/>
    <mergeCell ref="E3996:F3996"/>
    <mergeCell ref="E3999:F3999"/>
    <mergeCell ref="E4000:F4000"/>
    <mergeCell ref="E4003:F4003"/>
    <mergeCell ref="E4004:F4004"/>
    <mergeCell ref="E4002:F4002"/>
    <mergeCell ref="E4001:F4001"/>
    <mergeCell ref="E4006:F4006"/>
    <mergeCell ref="E4008:F4008"/>
    <mergeCell ref="E4009:F4009"/>
    <mergeCell ref="E4007:F4007"/>
    <mergeCell ref="E1535:F1535"/>
    <mergeCell ref="E1536:F1536"/>
    <mergeCell ref="E1537:F1537"/>
    <mergeCell ref="E4013:F4013"/>
    <mergeCell ref="E1639:F1639"/>
    <mergeCell ref="E1684:F1684"/>
    <mergeCell ref="E1679:F1679"/>
    <mergeCell ref="E1673:F1673"/>
    <mergeCell ref="E1674:F1674"/>
    <mergeCell ref="E1675:F1675"/>
    <mergeCell ref="E1555:F1555"/>
    <mergeCell ref="E1538:F1538"/>
    <mergeCell ref="E1541:F1541"/>
    <mergeCell ref="E1554:F1554"/>
    <mergeCell ref="E1553:F1553"/>
    <mergeCell ref="E1545:F1545"/>
    <mergeCell ref="E1540:F1540"/>
    <mergeCell ref="E1547:F1547"/>
    <mergeCell ref="E1549:F1549"/>
    <mergeCell ref="E1584:F1584"/>
    <mergeCell ref="E1688:F1688"/>
    <mergeCell ref="E1759:F1759"/>
    <mergeCell ref="E4027:F4027"/>
    <mergeCell ref="E1683:F1683"/>
    <mergeCell ref="E1678:F1678"/>
    <mergeCell ref="E1641:F1641"/>
    <mergeCell ref="E1586:F1586"/>
    <mergeCell ref="E1592:F1592"/>
    <mergeCell ref="E1599:F1599"/>
    <mergeCell ref="E1583:F1583"/>
    <mergeCell ref="E1571:F1571"/>
    <mergeCell ref="E1572:F1572"/>
    <mergeCell ref="E1573:F1573"/>
    <mergeCell ref="E1574:F1574"/>
    <mergeCell ref="E1580:F1580"/>
    <mergeCell ref="E1486:F1486"/>
    <mergeCell ref="E1487:F1487"/>
    <mergeCell ref="E1488:F1488"/>
    <mergeCell ref="E1489:F1489"/>
    <mergeCell ref="E1531:F1531"/>
    <mergeCell ref="E1532:F1532"/>
    <mergeCell ref="E1533:F1533"/>
    <mergeCell ref="E1606:F1606"/>
    <mergeCell ref="E1556:F1556"/>
    <mergeCell ref="E1557:F1557"/>
    <mergeCell ref="E1558:F1558"/>
    <mergeCell ref="E1559:F1559"/>
    <mergeCell ref="E1560:F1560"/>
    <mergeCell ref="E1567:F1567"/>
    <mergeCell ref="E1607:F1607"/>
    <mergeCell ref="E1686:F1686"/>
    <mergeCell ref="E1676:F1676"/>
    <mergeCell ref="E1609:F1609"/>
    <mergeCell ref="E1608:F1608"/>
    <mergeCell ref="E1682:F1682"/>
    <mergeCell ref="E1665:F1665"/>
    <mergeCell ref="E1636:F1636"/>
    <mergeCell ref="E1632:F1632"/>
    <mergeCell ref="E1671:F1671"/>
    <mergeCell ref="E1696:F1696"/>
    <mergeCell ref="E1699:F1699"/>
    <mergeCell ref="E1700:F1700"/>
    <mergeCell ref="E4054:F4054"/>
    <mergeCell ref="E4051:F4051"/>
    <mergeCell ref="E4052:F4052"/>
    <mergeCell ref="E4053:F4053"/>
    <mergeCell ref="E1709:F1709"/>
    <mergeCell ref="E1710:F1710"/>
    <mergeCell ref="E1713:F1713"/>
    <mergeCell ref="E4063:F4063"/>
    <mergeCell ref="E4062:F4062"/>
    <mergeCell ref="E4061:F4061"/>
    <mergeCell ref="E4064:F4064"/>
    <mergeCell ref="E4074:F4074"/>
    <mergeCell ref="E4075:F4075"/>
    <mergeCell ref="E4082:F4082"/>
    <mergeCell ref="E4217:F4217"/>
    <mergeCell ref="E4144:F4144"/>
    <mergeCell ref="E4143:F4143"/>
    <mergeCell ref="E4139:F4139"/>
    <mergeCell ref="E4150:F4150"/>
    <mergeCell ref="E4138:F4138"/>
    <mergeCell ref="E4140:F4140"/>
    <mergeCell ref="E4289:F4289"/>
    <mergeCell ref="E4299:F4299"/>
    <mergeCell ref="E4224:F4224"/>
    <mergeCell ref="E4219:F4219"/>
    <mergeCell ref="E4220:F4220"/>
    <mergeCell ref="E4236:F4236"/>
    <mergeCell ref="E4249:F4249"/>
    <mergeCell ref="E4264:F4264"/>
    <mergeCell ref="E4235:F4235"/>
    <mergeCell ref="E4256:F4256"/>
    <mergeCell ref="E4287:F4287"/>
    <mergeCell ref="E4288:F4288"/>
    <mergeCell ref="E4281:F4281"/>
    <mergeCell ref="E4282:F4282"/>
    <mergeCell ref="E4283:F4283"/>
    <mergeCell ref="E4284:F4284"/>
    <mergeCell ref="E4285:F4285"/>
    <mergeCell ref="E4290:F4290"/>
    <mergeCell ref="E4297:F4297"/>
    <mergeCell ref="E4291:F4291"/>
    <mergeCell ref="E4318:F4318"/>
    <mergeCell ref="E4305:F4305"/>
    <mergeCell ref="E4314:F4314"/>
    <mergeCell ref="E4303:F4303"/>
    <mergeCell ref="E4300:F4300"/>
    <mergeCell ref="E4302:F4302"/>
    <mergeCell ref="E4330:F4330"/>
    <mergeCell ref="E4332:F4332"/>
    <mergeCell ref="E4336:F4336"/>
    <mergeCell ref="E4292:F4292"/>
    <mergeCell ref="E4319:F4319"/>
    <mergeCell ref="E4320:F4320"/>
    <mergeCell ref="E4311:F4311"/>
    <mergeCell ref="E4312:F4312"/>
    <mergeCell ref="E4313:F4313"/>
    <mergeCell ref="E4309:F4309"/>
    <mergeCell ref="E4308:F4308"/>
    <mergeCell ref="E4354:F4354"/>
    <mergeCell ref="E4355:F4355"/>
    <mergeCell ref="E4321:F4321"/>
    <mergeCell ref="E4315:F4315"/>
    <mergeCell ref="E4335:F4335"/>
    <mergeCell ref="E4328:F4328"/>
    <mergeCell ref="E4329:F4329"/>
    <mergeCell ref="E4324:F4324"/>
    <mergeCell ref="E4333:F4333"/>
    <mergeCell ref="E4351:F4351"/>
    <mergeCell ref="E4337:F4337"/>
    <mergeCell ref="E4338:F4338"/>
    <mergeCell ref="E4350:F4350"/>
    <mergeCell ref="E4342:F4342"/>
    <mergeCell ref="E4343:F4343"/>
    <mergeCell ref="E4345:F4345"/>
    <mergeCell ref="E4346:F4346"/>
    <mergeCell ref="E4334:F4334"/>
    <mergeCell ref="E4362:F4362"/>
    <mergeCell ref="E4363:F4363"/>
    <mergeCell ref="E4358:F4358"/>
    <mergeCell ref="E4361:F4361"/>
    <mergeCell ref="E4348:F4348"/>
    <mergeCell ref="E4339:F4339"/>
    <mergeCell ref="E4340:F4340"/>
    <mergeCell ref="E4349:F4349"/>
    <mergeCell ref="E4341:F4341"/>
    <mergeCell ref="E4347:F4347"/>
    <mergeCell ref="E4364:F4364"/>
    <mergeCell ref="E4357:F4357"/>
    <mergeCell ref="E4356:F4356"/>
    <mergeCell ref="E4268:F4268"/>
    <mergeCell ref="E4269:F4269"/>
    <mergeCell ref="E4296:F4296"/>
    <mergeCell ref="E4294:F4294"/>
    <mergeCell ref="E4295:F4295"/>
    <mergeCell ref="E4317:F4317"/>
    <mergeCell ref="E4316:F4316"/>
    <mergeCell ref="E4066:F4066"/>
    <mergeCell ref="E4307:F4307"/>
    <mergeCell ref="E4301:F4301"/>
    <mergeCell ref="E4265:F4265"/>
    <mergeCell ref="E4266:F4266"/>
    <mergeCell ref="E4267:F4267"/>
    <mergeCell ref="E4304:F4304"/>
    <mergeCell ref="E4278:F4278"/>
    <mergeCell ref="E4298:F4298"/>
    <mergeCell ref="E4293:F4293"/>
    <mergeCell ref="E4042:F4042"/>
    <mergeCell ref="E1979:F1979"/>
    <mergeCell ref="E1980:F1980"/>
    <mergeCell ref="E1753:F1753"/>
    <mergeCell ref="E4021:F4021"/>
    <mergeCell ref="E4019:F4019"/>
    <mergeCell ref="E4018:F4018"/>
    <mergeCell ref="E4014:F4014"/>
    <mergeCell ref="E4015:F4015"/>
    <mergeCell ref="E4005:F4005"/>
    <mergeCell ref="E1610:F1610"/>
    <mergeCell ref="E1568:F1568"/>
    <mergeCell ref="E1569:F1569"/>
    <mergeCell ref="E1764:F1764"/>
    <mergeCell ref="E1757:F1757"/>
    <mergeCell ref="E1715:F1715"/>
    <mergeCell ref="E1747:F1747"/>
    <mergeCell ref="E1748:F1748"/>
    <mergeCell ref="E1725:F1725"/>
    <mergeCell ref="E1726:F1726"/>
    <mergeCell ref="E1749:F1749"/>
    <mergeCell ref="E1750:F1750"/>
    <mergeCell ref="E1754:F1754"/>
    <mergeCell ref="E1716:F1716"/>
    <mergeCell ref="E1717:F1717"/>
    <mergeCell ref="E1746:F1746"/>
    <mergeCell ref="E1751:F1751"/>
    <mergeCell ref="E1719:F1719"/>
    <mergeCell ref="E1720:F1720"/>
    <mergeCell ref="E1721:F1721"/>
    <mergeCell ref="E4370:F4370"/>
    <mergeCell ref="E2432:F2432"/>
    <mergeCell ref="E2437:F2437"/>
    <mergeCell ref="E2452:F2452"/>
    <mergeCell ref="E2460:F2460"/>
    <mergeCell ref="E4359:F4359"/>
    <mergeCell ref="E4360:F4360"/>
    <mergeCell ref="E4366:F4366"/>
    <mergeCell ref="E4365:F4365"/>
    <mergeCell ref="E4368:F4368"/>
    <mergeCell ref="E4369:F4369"/>
    <mergeCell ref="E1981:F1981"/>
    <mergeCell ref="E4044:F4044"/>
    <mergeCell ref="E2449:F2449"/>
    <mergeCell ref="E4040:F4040"/>
    <mergeCell ref="E4039:F4039"/>
    <mergeCell ref="E4033:F4033"/>
    <mergeCell ref="E4067:F4067"/>
    <mergeCell ref="E4068:F4068"/>
    <mergeCell ref="E4352:F4352"/>
    <mergeCell ref="E4383:F4383"/>
    <mergeCell ref="E4385:F4385"/>
    <mergeCell ref="E4371:F4371"/>
    <mergeCell ref="E4372:F4372"/>
    <mergeCell ref="E4373:F4373"/>
    <mergeCell ref="E4374:F4374"/>
    <mergeCell ref="E4375:F4375"/>
    <mergeCell ref="E4376:F4376"/>
    <mergeCell ref="E4392:F4392"/>
    <mergeCell ref="E4393:F4393"/>
    <mergeCell ref="E4377:F4377"/>
    <mergeCell ref="E4378:F4378"/>
    <mergeCell ref="E4379:F4379"/>
    <mergeCell ref="E4380:F4380"/>
    <mergeCell ref="E4386:F4386"/>
    <mergeCell ref="E4387:F4387"/>
    <mergeCell ref="E4381:F4381"/>
    <mergeCell ref="E4382:F4382"/>
    <mergeCell ref="E4388:F4388"/>
    <mergeCell ref="E4389:F4389"/>
    <mergeCell ref="E4390:F4390"/>
    <mergeCell ref="E4391:F4391"/>
    <mergeCell ref="E4401:F4401"/>
    <mergeCell ref="E4396:F4396"/>
    <mergeCell ref="E4397:F4397"/>
    <mergeCell ref="E4398:F4398"/>
    <mergeCell ref="E4394:F4394"/>
    <mergeCell ref="E4395:F4395"/>
    <mergeCell ref="E4399:F4399"/>
    <mergeCell ref="E4400:F4400"/>
    <mergeCell ref="E4431:F4431"/>
    <mergeCell ref="E4444:F4444"/>
    <mergeCell ref="E4445:F4445"/>
    <mergeCell ref="E4408:F4408"/>
    <mergeCell ref="E4409:F4409"/>
    <mergeCell ref="E4410:F4410"/>
    <mergeCell ref="E4411:F4411"/>
    <mergeCell ref="E4412:F4412"/>
    <mergeCell ref="E4413:F4413"/>
    <mergeCell ref="E4426:F4426"/>
    <mergeCell ref="E4429:F4429"/>
    <mergeCell ref="E4425:F4425"/>
    <mergeCell ref="E4415:F4415"/>
    <mergeCell ref="E4416:F4416"/>
    <mergeCell ref="E4423:F4423"/>
    <mergeCell ref="E4420:F4420"/>
    <mergeCell ref="E4422:F4422"/>
    <mergeCell ref="E4424:F4424"/>
    <mergeCell ref="E1597:F1597"/>
    <mergeCell ref="E1598:F1598"/>
    <mergeCell ref="E1600:F1600"/>
    <mergeCell ref="E4414:F4414"/>
    <mergeCell ref="E4402:F4402"/>
    <mergeCell ref="E4403:F4403"/>
    <mergeCell ref="E4404:F4404"/>
    <mergeCell ref="E4405:F4405"/>
    <mergeCell ref="E4406:F4406"/>
    <mergeCell ref="E4407:F4407"/>
    <mergeCell ref="E4501:F4501"/>
    <mergeCell ref="E4427:F4427"/>
    <mergeCell ref="E4428:F4428"/>
    <mergeCell ref="E4525:F4525"/>
    <mergeCell ref="E4487:F4487"/>
    <mergeCell ref="E4486:F4486"/>
    <mergeCell ref="E4447:F4447"/>
    <mergeCell ref="E4499:F4499"/>
    <mergeCell ref="E4432:F4432"/>
    <mergeCell ref="E4433:F4433"/>
    <mergeCell ref="E4494:F4494"/>
    <mergeCell ref="E4495:F4495"/>
    <mergeCell ref="E4532:F4532"/>
    <mergeCell ref="E4448:F4448"/>
    <mergeCell ref="E4449:F4449"/>
    <mergeCell ref="E4530:F4530"/>
    <mergeCell ref="E4531:F4531"/>
    <mergeCell ref="E4527:F4527"/>
    <mergeCell ref="E4528:F4528"/>
    <mergeCell ref="E4529:F4529"/>
    <mergeCell ref="E4538:F4538"/>
    <mergeCell ref="E4533:F4533"/>
    <mergeCell ref="E4534:F4534"/>
    <mergeCell ref="E4508:F4508"/>
    <mergeCell ref="E4509:F4509"/>
    <mergeCell ref="E4515:F4515"/>
    <mergeCell ref="E4510:F4510"/>
    <mergeCell ref="E4521:F4521"/>
    <mergeCell ref="E4522:F4522"/>
    <mergeCell ref="E4517:F4517"/>
    <mergeCell ref="E4526:F4526"/>
    <mergeCell ref="E4505:F4505"/>
    <mergeCell ref="E4535:F4535"/>
    <mergeCell ref="E4537:F4537"/>
    <mergeCell ref="E4518:F4518"/>
    <mergeCell ref="E4519:F4519"/>
    <mergeCell ref="E4516:F4516"/>
    <mergeCell ref="E4506:F4506"/>
    <mergeCell ref="E4507:F4507"/>
    <mergeCell ref="E4543:F4543"/>
    <mergeCell ref="E4544:F4544"/>
    <mergeCell ref="E4545:F4545"/>
    <mergeCell ref="E4539:F4539"/>
    <mergeCell ref="E4540:F4540"/>
    <mergeCell ref="E4541:F4541"/>
    <mergeCell ref="E4542:F4542"/>
    <mergeCell ref="E4552:F4552"/>
    <mergeCell ref="E4553:F4553"/>
    <mergeCell ref="E4550:F4550"/>
    <mergeCell ref="E4551:F4551"/>
    <mergeCell ref="E4549:F4549"/>
    <mergeCell ref="E4546:F4546"/>
    <mergeCell ref="E4547:F4547"/>
    <mergeCell ref="E4548:F4548"/>
    <mergeCell ref="E4557:F4557"/>
    <mergeCell ref="E4559:F4559"/>
    <mergeCell ref="E4560:F4560"/>
    <mergeCell ref="E4554:F4554"/>
    <mergeCell ref="E4555:F4555"/>
    <mergeCell ref="E4556:F4556"/>
    <mergeCell ref="E4568:F4568"/>
    <mergeCell ref="E4567:F4567"/>
    <mergeCell ref="E4565:F4565"/>
    <mergeCell ref="E4566:F4566"/>
    <mergeCell ref="E4564:F4564"/>
    <mergeCell ref="E4561:F4561"/>
    <mergeCell ref="E4562:F4562"/>
    <mergeCell ref="E4563:F4563"/>
    <mergeCell ref="E4575:F4575"/>
    <mergeCell ref="E4576:F4576"/>
    <mergeCell ref="E4573:F4573"/>
    <mergeCell ref="E4574:F4574"/>
    <mergeCell ref="E4569:F4569"/>
    <mergeCell ref="E4570:F4570"/>
    <mergeCell ref="E4571:F4571"/>
    <mergeCell ref="E4572:F4572"/>
    <mergeCell ref="E4582:F4582"/>
    <mergeCell ref="E4583:F4583"/>
    <mergeCell ref="E4584:F4584"/>
    <mergeCell ref="E4577:F4577"/>
    <mergeCell ref="E4579:F4579"/>
    <mergeCell ref="E4580:F4580"/>
    <mergeCell ref="E4581:F4581"/>
    <mergeCell ref="E4590:F4590"/>
    <mergeCell ref="E4588:F4588"/>
    <mergeCell ref="E4589:F4589"/>
    <mergeCell ref="E4585:F4585"/>
    <mergeCell ref="E4586:F4586"/>
    <mergeCell ref="E4587:F4587"/>
    <mergeCell ref="E4598:F4598"/>
    <mergeCell ref="E4597:F4597"/>
    <mergeCell ref="E4595:F4595"/>
    <mergeCell ref="E4596:F4596"/>
    <mergeCell ref="E4593:F4593"/>
    <mergeCell ref="E4594:F4594"/>
    <mergeCell ref="E4591:F4591"/>
    <mergeCell ref="E4592:F4592"/>
    <mergeCell ref="E4606:F4606"/>
    <mergeCell ref="E4605:F4605"/>
    <mergeCell ref="E4604:F4604"/>
    <mergeCell ref="E4600:F4600"/>
    <mergeCell ref="E4601:F4601"/>
    <mergeCell ref="E4602:F4602"/>
    <mergeCell ref="E4603:F4603"/>
    <mergeCell ref="E4609:F4609"/>
    <mergeCell ref="E4610:F4610"/>
    <mergeCell ref="E4607:F4607"/>
    <mergeCell ref="E4608:F4608"/>
    <mergeCell ref="E4616:F4616"/>
    <mergeCell ref="E4611:F4611"/>
    <mergeCell ref="E4612:F4612"/>
    <mergeCell ref="E4613:F4613"/>
    <mergeCell ref="E4614:F4614"/>
    <mergeCell ref="E4615:F4615"/>
    <mergeCell ref="E4632:F4632"/>
    <mergeCell ref="E4624:F4624"/>
    <mergeCell ref="E4617:F4617"/>
    <mergeCell ref="E4619:F4619"/>
    <mergeCell ref="E4620:F4620"/>
    <mergeCell ref="E4621:F4621"/>
    <mergeCell ref="E4625:F4625"/>
    <mergeCell ref="E4622:F4622"/>
    <mergeCell ref="E4623:F4623"/>
    <mergeCell ref="E4639:F4639"/>
    <mergeCell ref="E4640:F4640"/>
    <mergeCell ref="E4626:F4626"/>
    <mergeCell ref="E4627:F4627"/>
    <mergeCell ref="E4628:F4628"/>
    <mergeCell ref="E4633:F4633"/>
    <mergeCell ref="E4634:F4634"/>
    <mergeCell ref="E4629:F4629"/>
    <mergeCell ref="E4630:F4630"/>
    <mergeCell ref="E4631:F4631"/>
    <mergeCell ref="E4635:F4635"/>
    <mergeCell ref="E4636:F4636"/>
    <mergeCell ref="E4637:F4637"/>
    <mergeCell ref="E4638:F4638"/>
    <mergeCell ref="E4650:F4650"/>
    <mergeCell ref="E4643:F4643"/>
    <mergeCell ref="E4644:F4644"/>
    <mergeCell ref="E4646:F4646"/>
    <mergeCell ref="E4647:F4647"/>
    <mergeCell ref="E4641:F4641"/>
    <mergeCell ref="E4642:F4642"/>
    <mergeCell ref="E4648:F4648"/>
    <mergeCell ref="E4649:F4649"/>
    <mergeCell ref="E4655:F4655"/>
    <mergeCell ref="E4656:F4656"/>
    <mergeCell ref="E4657:F4657"/>
    <mergeCell ref="E4658:F4658"/>
    <mergeCell ref="E4651:F4651"/>
    <mergeCell ref="E4652:F4652"/>
    <mergeCell ref="E4653:F4653"/>
    <mergeCell ref="E4654:F4654"/>
    <mergeCell ref="E4659:F4659"/>
    <mergeCell ref="E4660:F4660"/>
    <mergeCell ref="E4666:F4666"/>
    <mergeCell ref="E4668:F4668"/>
    <mergeCell ref="E4661:F4661"/>
    <mergeCell ref="E4662:F4662"/>
    <mergeCell ref="E4669:F4669"/>
    <mergeCell ref="E4663:F4663"/>
    <mergeCell ref="E4664:F4664"/>
    <mergeCell ref="E4665:F4665"/>
    <mergeCell ref="E4681:F4681"/>
    <mergeCell ref="E4670:F4670"/>
    <mergeCell ref="E4671:F4671"/>
    <mergeCell ref="E4672:F4672"/>
    <mergeCell ref="E4673:F4673"/>
    <mergeCell ref="E4674:F4674"/>
    <mergeCell ref="E4675:F4675"/>
    <mergeCell ref="E4688:F4688"/>
    <mergeCell ref="E4690:F4690"/>
    <mergeCell ref="E4676:F4676"/>
    <mergeCell ref="E4677:F4677"/>
    <mergeCell ref="E4682:F4682"/>
    <mergeCell ref="E4683:F4683"/>
    <mergeCell ref="E4684:F4684"/>
    <mergeCell ref="E4678:F4678"/>
    <mergeCell ref="E4679:F4679"/>
    <mergeCell ref="E4680:F4680"/>
    <mergeCell ref="E4691:F4691"/>
    <mergeCell ref="E4692:F4692"/>
    <mergeCell ref="E4693:F4693"/>
    <mergeCell ref="E4694:F4694"/>
    <mergeCell ref="E4685:F4685"/>
    <mergeCell ref="E4686:F4686"/>
    <mergeCell ref="E4687:F4687"/>
    <mergeCell ref="E4706:F4706"/>
    <mergeCell ref="E4702:F4702"/>
    <mergeCell ref="E4703:F4703"/>
    <mergeCell ref="E4698:F4698"/>
    <mergeCell ref="E4699:F4699"/>
    <mergeCell ref="E4700:F4700"/>
    <mergeCell ref="E4695:F4695"/>
    <mergeCell ref="E4712:F4712"/>
    <mergeCell ref="E4707:F4707"/>
    <mergeCell ref="E4708:F4708"/>
    <mergeCell ref="E4709:F4709"/>
    <mergeCell ref="E4710:F4710"/>
    <mergeCell ref="E4711:F4711"/>
    <mergeCell ref="E4696:F4696"/>
    <mergeCell ref="E4704:F4704"/>
    <mergeCell ref="E4705:F4705"/>
    <mergeCell ref="E4697:F4697"/>
    <mergeCell ref="E4726:F4726"/>
    <mergeCell ref="E4725:F4725"/>
    <mergeCell ref="E4722:F4722"/>
    <mergeCell ref="E4721:F4721"/>
    <mergeCell ref="E4724:F4724"/>
    <mergeCell ref="E4720:F4720"/>
    <mergeCell ref="E4713:F4713"/>
    <mergeCell ref="E4716:F4716"/>
    <mergeCell ref="E4714:F4714"/>
    <mergeCell ref="E4715:F4715"/>
    <mergeCell ref="E4719:F4719"/>
    <mergeCell ref="E4718:F4718"/>
    <mergeCell ref="E4717:F4717"/>
    <mergeCell ref="E4734:F4734"/>
    <mergeCell ref="E4735:F4735"/>
    <mergeCell ref="E4728:F4728"/>
    <mergeCell ref="E4729:F4729"/>
    <mergeCell ref="E4731:F4731"/>
    <mergeCell ref="E4732:F4732"/>
    <mergeCell ref="E4733:F4733"/>
    <mergeCell ref="E4730:F4730"/>
    <mergeCell ref="E4745:F4745"/>
    <mergeCell ref="E4756:F4756"/>
    <mergeCell ref="E4740:F4740"/>
    <mergeCell ref="E4736:F4736"/>
    <mergeCell ref="E4737:F4737"/>
    <mergeCell ref="E4738:F4738"/>
    <mergeCell ref="E4741:F4741"/>
    <mergeCell ref="E4746:F4746"/>
    <mergeCell ref="E4747:F4747"/>
    <mergeCell ref="E4754:F4754"/>
    <mergeCell ref="E4739:F4739"/>
    <mergeCell ref="E4742:F4742"/>
    <mergeCell ref="E4743:F4743"/>
    <mergeCell ref="E4744:F4744"/>
    <mergeCell ref="E4757:F4757"/>
    <mergeCell ref="E4748:F4748"/>
    <mergeCell ref="E4749:F4749"/>
    <mergeCell ref="E4750:F4750"/>
    <mergeCell ref="E4752:F4752"/>
    <mergeCell ref="E4753:F4753"/>
    <mergeCell ref="E4755:F4755"/>
    <mergeCell ref="E4776:F4776"/>
    <mergeCell ref="E4765:F4765"/>
    <mergeCell ref="E4766:F4766"/>
    <mergeCell ref="E4767:F4767"/>
    <mergeCell ref="E4775:F4775"/>
    <mergeCell ref="E4780:F4780"/>
    <mergeCell ref="E4777:F4777"/>
    <mergeCell ref="E4768:F4768"/>
    <mergeCell ref="E4769:F4769"/>
    <mergeCell ref="E4770:F4770"/>
    <mergeCell ref="E4771:F4771"/>
    <mergeCell ref="E4779:F4779"/>
    <mergeCell ref="E4778:F4778"/>
    <mergeCell ref="E4773:F4773"/>
    <mergeCell ref="E4774:F4774"/>
    <mergeCell ref="E4056:F4056"/>
    <mergeCell ref="E4057:F4057"/>
    <mergeCell ref="E4772:F4772"/>
    <mergeCell ref="E4759:F4759"/>
    <mergeCell ref="E4760:F4760"/>
    <mergeCell ref="E4761:F4761"/>
    <mergeCell ref="E4762:F4762"/>
    <mergeCell ref="E4763:F4763"/>
    <mergeCell ref="E4764:F4764"/>
    <mergeCell ref="E4758:F4758"/>
    <mergeCell ref="E4043:F4043"/>
    <mergeCell ref="E4022:F4022"/>
    <mergeCell ref="E4023:F4023"/>
    <mergeCell ref="E4024:F4024"/>
    <mergeCell ref="E4025:F4025"/>
    <mergeCell ref="E4038:F4038"/>
    <mergeCell ref="E4035:F4035"/>
    <mergeCell ref="E4029:F4029"/>
    <mergeCell ref="E4036:F4036"/>
    <mergeCell ref="E4034:F4034"/>
    <mergeCell ref="E4050:F4050"/>
    <mergeCell ref="E4045:F4045"/>
    <mergeCell ref="E4046:F4046"/>
    <mergeCell ref="E4049:F4049"/>
    <mergeCell ref="E4048:F4048"/>
    <mergeCell ref="E4047:F4047"/>
    <mergeCell ref="E4032:F4032"/>
    <mergeCell ref="E4016:F4016"/>
    <mergeCell ref="E1575:F1575"/>
    <mergeCell ref="E1576:F1576"/>
    <mergeCell ref="E1577:F1577"/>
    <mergeCell ref="E1578:F1578"/>
    <mergeCell ref="E1781:F1781"/>
    <mergeCell ref="E1783:F1783"/>
    <mergeCell ref="E1587:F1587"/>
    <mergeCell ref="E1593:F1593"/>
    <mergeCell ref="E4041:F4041"/>
    <mergeCell ref="E2428:F2428"/>
    <mergeCell ref="E1999:F1999"/>
    <mergeCell ref="E1996:F1996"/>
    <mergeCell ref="E2003:F2003"/>
    <mergeCell ref="E2442:F2442"/>
    <mergeCell ref="E4037:F4037"/>
    <mergeCell ref="E4028:F4028"/>
    <mergeCell ref="E4017:F4017"/>
    <mergeCell ref="E4020:F4020"/>
    <mergeCell ref="E2457:F2457"/>
    <mergeCell ref="E2555:F2555"/>
    <mergeCell ref="E1755:F1755"/>
    <mergeCell ref="E1756:F1756"/>
    <mergeCell ref="E1784:F1784"/>
    <mergeCell ref="E2525:F2525"/>
    <mergeCell ref="E2508:F2508"/>
    <mergeCell ref="E2509:F2509"/>
    <mergeCell ref="E2513:F2513"/>
    <mergeCell ref="E2453:F2453"/>
    <mergeCell ref="E1469:F1469"/>
    <mergeCell ref="E1550:F1550"/>
    <mergeCell ref="E1791:F1791"/>
    <mergeCell ref="E1798:F1798"/>
    <mergeCell ref="E1793:F1793"/>
    <mergeCell ref="E1752:F1752"/>
    <mergeCell ref="E1761:F1761"/>
    <mergeCell ref="E1788:F1788"/>
    <mergeCell ref="E1777:F1777"/>
    <mergeCell ref="E1758:F1758"/>
    <mergeCell ref="E1734:F1734"/>
    <mergeCell ref="E1737:F1737"/>
    <mergeCell ref="E1722:F1722"/>
    <mergeCell ref="E1707:F1707"/>
    <mergeCell ref="E1708:F1708"/>
    <mergeCell ref="E1727:F1727"/>
    <mergeCell ref="E1728:F1728"/>
    <mergeCell ref="E1735:F1735"/>
    <mergeCell ref="E1732:F1732"/>
    <mergeCell ref="E1733:F1733"/>
    <mergeCell ref="E1562:F1562"/>
    <mergeCell ref="E1563:F1563"/>
    <mergeCell ref="E1564:F1564"/>
    <mergeCell ref="E1731:F1731"/>
    <mergeCell ref="E1565:F1565"/>
    <mergeCell ref="E1566:F1566"/>
    <mergeCell ref="E1594:F1594"/>
    <mergeCell ref="E1596:F1596"/>
    <mergeCell ref="E1589:F1589"/>
    <mergeCell ref="E1602:F1602"/>
    <mergeCell ref="E2451:F2451"/>
    <mergeCell ref="E1763:F1763"/>
    <mergeCell ref="E1760:F1760"/>
    <mergeCell ref="E1762:F1762"/>
    <mergeCell ref="E2005:F2005"/>
    <mergeCell ref="E2450:F2450"/>
    <mergeCell ref="E1982:F1982"/>
    <mergeCell ref="E2006:F2006"/>
    <mergeCell ref="E2002:F2002"/>
    <mergeCell ref="E2422:F2422"/>
    <mergeCell ref="E1256:F1256"/>
    <mergeCell ref="E1745:F1745"/>
    <mergeCell ref="E1743:F1743"/>
    <mergeCell ref="E1736:F1736"/>
    <mergeCell ref="E1740:F1740"/>
    <mergeCell ref="E1738:F1738"/>
    <mergeCell ref="E1744:F1744"/>
    <mergeCell ref="E1741:F1741"/>
    <mergeCell ref="E1742:F1742"/>
    <mergeCell ref="E1561:F1561"/>
    <mergeCell ref="A4059:I4059"/>
    <mergeCell ref="E868:F868"/>
    <mergeCell ref="E900:F900"/>
    <mergeCell ref="E1277:F1277"/>
    <mergeCell ref="E891:F891"/>
    <mergeCell ref="E1276:F1276"/>
    <mergeCell ref="E1273:F1273"/>
    <mergeCell ref="E1262:F1262"/>
    <mergeCell ref="E1263:F1263"/>
    <mergeCell ref="E1265:F1265"/>
  </mergeCells>
  <printOptions horizontalCentered="1"/>
  <pageMargins left="0.31496062992126" right="0.196850393700787" top="0.31496062992126" bottom="0.433070866141732" header="0.15748031496063" footer="0.15748031496063"/>
  <pageSetup horizontalDpi="600" verticalDpi="600" orientation="portrait" paperSize="9" scale="71" r:id="rId1"/>
  <headerFooter alignWithMargins="0">
    <oddFooter>&amp;R&amp;P</oddFooter>
  </headerFooter>
  <rowBreaks count="60" manualBreakCount="60">
    <brk id="1" max="255" man="1"/>
    <brk id="2" max="255" man="1"/>
    <brk id="3" max="255" man="1"/>
    <brk id="87" max="255" man="1"/>
    <brk id="168" max="255" man="1"/>
    <brk id="250" max="255" man="1"/>
    <brk id="334" max="255" man="1"/>
    <brk id="421" max="255" man="1"/>
    <brk id="506" max="255" man="1"/>
    <brk id="591" max="255" man="1"/>
    <brk id="674" max="255" man="1"/>
    <brk id="757" max="255" man="1"/>
    <brk id="841" max="255" man="1"/>
    <brk id="909" max="255" man="1"/>
    <brk id="986" max="255" man="1"/>
    <brk id="1066" max="255" man="1"/>
    <brk id="1148" max="255" man="1"/>
    <brk id="1232" max="255" man="1"/>
    <brk id="1308" max="255" man="1"/>
    <brk id="1387" max="255" man="1"/>
    <brk id="1471" max="255" man="1"/>
    <brk id="1548" max="255" man="1"/>
    <brk id="1628" max="255" man="1"/>
    <brk id="1706" max="255" man="1"/>
    <brk id="1787" max="255" man="1"/>
    <brk id="1869" max="255" man="1"/>
    <brk id="1952" max="255" man="1"/>
    <brk id="2029" max="255" man="1"/>
    <brk id="2111" max="255" man="1"/>
    <brk id="2196" max="255" man="1"/>
    <brk id="2282" max="255" man="1"/>
    <brk id="2367" max="255" man="1"/>
    <brk id="2452" max="255" man="1"/>
    <brk id="2501" max="255" man="1"/>
    <brk id="2581" max="255" man="1"/>
    <brk id="2659" max="255" man="1"/>
    <brk id="2743" max="255" man="1"/>
    <brk id="2825" max="255" man="1"/>
    <brk id="2910" max="255" man="1"/>
    <brk id="2995" max="255" man="1"/>
    <brk id="3080" max="255" man="1"/>
    <brk id="3164" max="255" man="1"/>
    <brk id="3250" max="255" man="1"/>
    <brk id="3337" max="255" man="1"/>
    <brk id="3423" max="255" man="1"/>
    <brk id="3509" max="255" man="1"/>
    <brk id="3596" max="255" man="1"/>
    <brk id="3682" max="255" man="1"/>
    <brk id="3770" max="255" man="1"/>
    <brk id="3854" max="255" man="1"/>
    <brk id="3936" max="255" man="1"/>
    <brk id="4021" max="255" man="1"/>
    <brk id="4103" max="255" man="1"/>
    <brk id="4189" max="255" man="1"/>
    <brk id="4277" max="255" man="1"/>
    <brk id="4362" max="255" man="1"/>
    <brk id="4443" max="255" man="1"/>
    <brk id="4529" max="255" man="1"/>
    <brk id="4618" max="255" man="1"/>
    <brk id="47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Ankica</cp:lastModifiedBy>
  <cp:lastPrinted>2007-05-24T22:59:29Z</cp:lastPrinted>
  <dcterms:created xsi:type="dcterms:W3CDTF">2006-11-22T13:36:45Z</dcterms:created>
  <dcterms:modified xsi:type="dcterms:W3CDTF">2007-05-28T12:17:14Z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520880034</vt:i4>
  </property>
  <property fmtid="{D5CDD505-2E9C-101B-9397-08002B2CF9AE}" pid="4" name="_EmailSubje">
    <vt:lpwstr>5. sednica, 25.05.07</vt:lpwstr>
  </property>
  <property fmtid="{D5CDD505-2E9C-101B-9397-08002B2CF9AE}" pid="5" name="_AuthorEma">
    <vt:lpwstr>ankica@sr.gov.yu</vt:lpwstr>
  </property>
  <property fmtid="{D5CDD505-2E9C-101B-9397-08002B2CF9AE}" pid="6" name="_AuthorEmailDisplayNa">
    <vt:lpwstr>Ankica Budisa Ninkovic</vt:lpwstr>
  </property>
</Properties>
</file>