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120" windowHeight="8700" activeTab="0"/>
  </bookViews>
  <sheets>
    <sheet name="SCG 30.06 bez Rusije" sheetId="1" r:id="rId1"/>
  </sheets>
  <definedNames>
    <definedName name="_xlnm.Print_Area" localSheetId="0">'SCG 30.06 bez Rusije'!$A$1:$E$178</definedName>
    <definedName name="_xlnm.Print_Titles" localSheetId="0">'SCG 30.06 bez Rusije'!$9:$10</definedName>
  </definedNames>
  <calcPr fullCalcOnLoad="1"/>
</workbook>
</file>

<file path=xl/sharedStrings.xml><?xml version="1.0" encoding="utf-8"?>
<sst xmlns="http://schemas.openxmlformats.org/spreadsheetml/2006/main" count="224" uniqueCount="124">
  <si>
    <t>I M F</t>
  </si>
  <si>
    <t>XDR</t>
  </si>
  <si>
    <t>I B R D</t>
  </si>
  <si>
    <t>EUR</t>
  </si>
  <si>
    <t>I D A</t>
  </si>
  <si>
    <t>PF SAC I 3643-0 YF od XDR 68,1 mln</t>
  </si>
  <si>
    <t>SAC 3599-0 YF od XDR 55,5 mln</t>
  </si>
  <si>
    <t>MOES 3636 YF od XDR 8,0 mln</t>
  </si>
  <si>
    <t>HIP 3768-YF od XDR 14,7 mln</t>
  </si>
  <si>
    <t>SAC I 3705-0 YF od XDR 11,9 mln</t>
  </si>
  <si>
    <t>SMEECA 3693-YF od XDR 9,1 mln</t>
  </si>
  <si>
    <t>3708-YF od XDR 3,8 mln</t>
  </si>
  <si>
    <t>MESTAP 3823-YF od XDR 5,0 mln</t>
  </si>
  <si>
    <t>3919-YF od XDR 3,5 mln</t>
  </si>
  <si>
    <t>3918-YF od XDR 4,9 mln</t>
  </si>
  <si>
    <t>SOSAC 3750-YF od XDR 60,4 mln</t>
  </si>
  <si>
    <t>LABOR LIL 3753-YF od XDR 2,0 mln</t>
  </si>
  <si>
    <t>3723-YF od XDR 8,4 mln</t>
  </si>
  <si>
    <t>3870-YF od XDR 14,1 mln</t>
  </si>
  <si>
    <t>3908-YF od XDR 20,1 mln</t>
  </si>
  <si>
    <t>3909-YF od XDR 37,5 mln</t>
  </si>
  <si>
    <t>TTFSE 3651-YF od XDR 5,5 mln</t>
  </si>
  <si>
    <t>SAC II 3983-0 YF od XDR 12,3 mln</t>
  </si>
  <si>
    <t>PF SAC II 3780-YF od XDR 58,7 mln</t>
  </si>
  <si>
    <t>4048 YF od XDR 3,3 mln</t>
  </si>
  <si>
    <t>SAC II 4017-0 YF od XDR 30,1 mln</t>
  </si>
  <si>
    <t>4071-0 YF od XDR 16,6 mln *</t>
  </si>
  <si>
    <t xml:space="preserve">4105-0 YF od XDR 16,6 mln * </t>
  </si>
  <si>
    <t>4131-0 YF od XDR 38,0 mln</t>
  </si>
  <si>
    <t>4090-0 YF od XDR 13,9 mln *</t>
  </si>
  <si>
    <t>USD</t>
  </si>
  <si>
    <t>E I B</t>
  </si>
  <si>
    <t>EIB - APEX GLOBAL I i II</t>
  </si>
  <si>
    <t>E Z</t>
  </si>
  <si>
    <t>EZ - 225 mln</t>
  </si>
  <si>
    <t>EZ - 55 mln</t>
  </si>
  <si>
    <t>C E B</t>
  </si>
  <si>
    <t>E B R D</t>
  </si>
  <si>
    <t>E U R O F I M A</t>
  </si>
  <si>
    <t>CHF</t>
  </si>
  <si>
    <t>NOK</t>
  </si>
  <si>
    <t>DKK</t>
  </si>
  <si>
    <t>GBP</t>
  </si>
  <si>
    <t>JPY</t>
  </si>
  <si>
    <t>SEK</t>
  </si>
  <si>
    <t>K.L.  OD 30.06.2006</t>
  </si>
  <si>
    <t>XDR:USD</t>
  </si>
  <si>
    <t xml:space="preserve"> ПРИЛОГ 4</t>
  </si>
  <si>
    <t>ОСНОВ</t>
  </si>
  <si>
    <t>ВАЛУТА</t>
  </si>
  <si>
    <t>СРБИЈА</t>
  </si>
  <si>
    <t>ЦРНА ГОРА</t>
  </si>
  <si>
    <t>УКУПНО</t>
  </si>
  <si>
    <t>у USD по курсној листи бр.121 која важи за 30.06.2006</t>
  </si>
  <si>
    <t>МЕЂУНАРОДНЕ ФИНАНСИЈСКЕ ОРГАНИЗАЦИЈЕ И ЕЗ</t>
  </si>
  <si>
    <t>укупно у USD</t>
  </si>
  <si>
    <t>* нису повучена средства за Србију</t>
  </si>
  <si>
    <t xml:space="preserve">* нису повучена средства  </t>
  </si>
  <si>
    <t>* нису повучена средства : 90% Србија, 10% Црна Гора</t>
  </si>
  <si>
    <t>I   УКУПНО МФО И ЕЗ</t>
  </si>
  <si>
    <t>ПАРИСКИ КЛУБ ПОВЕРИЛАЦА</t>
  </si>
  <si>
    <t xml:space="preserve">СТАЊЕ ДУГА ПОСЛЕ II ОТПИСА - консолидовани дуг </t>
  </si>
  <si>
    <t xml:space="preserve">II   УКУПНО ПАРИСКИ КЛУБ - консолидовани дуг </t>
  </si>
  <si>
    <t xml:space="preserve">ЛОНДОНСКИ КЛУБ ПОВЕРИЛАЦА </t>
  </si>
  <si>
    <t>регулисани дуг (NFA, TDFA)</t>
  </si>
  <si>
    <t>III   УКУПНО ЛОНДОНСКИ КЛУБ</t>
  </si>
  <si>
    <t>КРЕДИТИ ЗАКЉУЧЕНИ ПОСЛЕ 20.12.2000.</t>
  </si>
  <si>
    <t>КИНА (робни кредит)</t>
  </si>
  <si>
    <t>ПОЉСКА - кредит од USD 50 млн - ЕПС</t>
  </si>
  <si>
    <t>V    УКУПНО ОСТАЛЕ ВЛАДЕ</t>
  </si>
  <si>
    <t xml:space="preserve">КЛИРИНГ - Чешка и Словачка </t>
  </si>
  <si>
    <t>* Однос клириншког и конвертибилног дуга приказан је у пропорцији 1:1. Тачан однос биће утврђен у преговорима.</t>
  </si>
  <si>
    <t xml:space="preserve">VI    УКУПНО КЛИРИНГ </t>
  </si>
  <si>
    <t>УКУПНО У USD  ( I  -  VI )</t>
  </si>
  <si>
    <t xml:space="preserve">МЕМОРАНДУМ СТАВКА </t>
  </si>
  <si>
    <t>60% КАПИТАЛИЗОВАНЕ КАМАТЕ У ПЕРИОДУ 22.09.2002. ДО 31.12.2005. ГОДИНЕ</t>
  </si>
  <si>
    <t xml:space="preserve">VII    УКУПНО МЕМОРАНДУМ СТАВКА </t>
  </si>
  <si>
    <t>УКУПНО У USD ( I  -  VII )</t>
  </si>
  <si>
    <t>A - 7086 YF Србија</t>
  </si>
  <si>
    <t>B - 7087 YF Србија</t>
  </si>
  <si>
    <t>C - 7088 YF Србија</t>
  </si>
  <si>
    <t xml:space="preserve">D - 7089 YF Црна Гора </t>
  </si>
  <si>
    <t>E - 7090 YF Црна Гора</t>
  </si>
  <si>
    <t>F - 7091 YF Црна Гора</t>
  </si>
  <si>
    <t xml:space="preserve">EIB - 56,3 mln - Србија (репрограм) </t>
  </si>
  <si>
    <t>EIB 22265 - 50 mln - Србија</t>
  </si>
  <si>
    <t>EIB 21386 - 66 mln - Србија и Црна Гора</t>
  </si>
  <si>
    <t>EIB 22474 - 12 mln - Црна Гора</t>
  </si>
  <si>
    <t>EIB 22549 - 24 mln - Црна Гора</t>
  </si>
  <si>
    <t>EIB 23313 - 9 mln - Црна Гора</t>
  </si>
  <si>
    <t>EIB 22550 - 120 mln - Србија</t>
  </si>
  <si>
    <t xml:space="preserve">EIB 21499 - 85 mln - Србија и Црна Гора </t>
  </si>
  <si>
    <t>EIB 22264 - 22 mln - Србија</t>
  </si>
  <si>
    <t>EIB 22096 - 90 mln - Србија</t>
  </si>
  <si>
    <t>EIB 21631 - 95 mln - Србија</t>
  </si>
  <si>
    <t xml:space="preserve">EBRD 22705 - 76 mln - ЈП Путеви Србије </t>
  </si>
  <si>
    <t>EBRD - 6 mln - Ниш</t>
  </si>
  <si>
    <t>EBRD - 5 mln - Крагујевац</t>
  </si>
  <si>
    <t>EBRD - 5 mln - Нови Сад</t>
  </si>
  <si>
    <t>EBRD - 60 mln - Београд</t>
  </si>
  <si>
    <t>EBRD - 57 mln - ЈП Железнице Србије</t>
  </si>
  <si>
    <t xml:space="preserve">EBRD - 60 mln  - ЈП Електропривреда Србије </t>
  </si>
  <si>
    <t xml:space="preserve">EBRD - 100 mln - ЈП Електропривреда Србије </t>
  </si>
  <si>
    <t>32,17 mln (репрограм)</t>
  </si>
  <si>
    <t xml:space="preserve">9,6 mln - Пројекат реконструкције и обнове кућа уништених у поплавама априла 2005 у подручју Војводине </t>
  </si>
  <si>
    <t>IV   УКУПНО КРЕДИТИ ЗАКЉУЧЕНИ ПОСЛЕ 20.12.2000.</t>
  </si>
  <si>
    <t>IDA - Аванс - Одрживи развој туризма у ЦГ - USD 857.000,00 - нису повучена средства</t>
  </si>
  <si>
    <t xml:space="preserve">EIB 21756 - 70 mln - Србија * и Црна Гора </t>
  </si>
  <si>
    <t>EIB - 25 mln - Србија (водовод) *</t>
  </si>
  <si>
    <t>EIB 22994 - 25 mln - Србија (школе) *</t>
  </si>
  <si>
    <t>EIB - 5 mln - Црна Гора *</t>
  </si>
  <si>
    <t>EZ - 25 mln *</t>
  </si>
  <si>
    <t>нерегулисани дуг (API) **</t>
  </si>
  <si>
    <t>Неалоцирани клириншки дуг *</t>
  </si>
  <si>
    <t>на дан 21.05.2006. године</t>
  </si>
  <si>
    <t>ПРЕМА СПОРАЗУМИМА КОЈЕ ЈЕ ПОТПИСАЛА СРЈ, ОДНОСНО ДЗ СЦГ</t>
  </si>
  <si>
    <t xml:space="preserve">ПРЕГЛЕД СТАЊА СПОЉНОГ ДУГА ДЗ СЦГ </t>
  </si>
  <si>
    <t xml:space="preserve">ОСТАЛЕ ВЛАДЕ </t>
  </si>
  <si>
    <t>Швајцарска - 
за уплату дела чланског улога код EBRD ***</t>
  </si>
  <si>
    <t>ЛИБИЈА ****</t>
  </si>
  <si>
    <t>КУВАЈТ ****</t>
  </si>
  <si>
    <t>**** неалоцирани дугови - деле се по проценту 94,12% Србија и 5,88% Црна Гора</t>
  </si>
  <si>
    <t>** Уколико Црна Гора достави доказе о откупу дуга биће ослобођена обавеза.</t>
  </si>
  <si>
    <t xml:space="preserve">*** С обзиром да Република Србија наставља чланство ДЗ СЦГ у ЕБРД, финансијске обавезе по овом основу настале до дана потписивања овог споразума, као и све будуће финансијске обавезе наставиће да отплаћује Република Србија. 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</si>
</sst>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0_);_(* \(#,##0.0000\);_(* &quot;-&quot;????_);_(@_)"/>
    <numFmt numFmtId="181" formatCode="_(* #,##0.000000_);_(* \(#,##0.000000\);_(* &quot;-&quot;??????_);_(@_)"/>
    <numFmt numFmtId="182" formatCode="_(* #,##0.00000_);_(* \(#,##0.00000\);_(* &quot;-&quot;????_);_(@_)"/>
    <numFmt numFmtId="183" formatCode="_(* #,##0.000_);_(* \(#,##0.000\);_(* &quot;-&quot;????_);_(@_)"/>
    <numFmt numFmtId="184" formatCode="_(* #,##0.00_);_(* \(#,##0.00\);_(* &quot;-&quot;????_);_(@_)"/>
    <numFmt numFmtId="185" formatCode="m/d/yyyy"/>
    <numFmt numFmtId="186" formatCode="_(* #,##0.000_);_(* \(#,##0.000\);_(* &quot;-&quot;???_);_(@_)"/>
    <numFmt numFmtId="187" formatCode="mmm/yyyy"/>
    <numFmt numFmtId="188" formatCode="[$€-2]\ #,##0.00_);\([$€-2]\ #,##0.00\)"/>
    <numFmt numFmtId="189" formatCode="#,##0.00\ [$Din.-C1A]_);\(#,##0.00\ [$Din.-C1A]\)"/>
    <numFmt numFmtId="190" formatCode="_(* #,##0.000_);_(* \(#,##0.000\);_(* &quot;-&quot;??_);_(@_)"/>
    <numFmt numFmtId="191" formatCode="_(* #,##0.0000_);_(* \(#,##0.0000\);_(* &quot;-&quot;??_);_(@_)"/>
    <numFmt numFmtId="192" formatCode="_-* #,##0.0000\ _D_i_n_._-;\-* #,##0.0000\ _D_i_n_._-;_-* &quot;-&quot;????\ _D_i_n_._-;_-@_-"/>
    <numFmt numFmtId="193" formatCode="0.0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Lucida Sans Unicode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medium"/>
      <bottom style="medium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hair"/>
      <top style="hair"/>
      <bottom style="double"/>
    </border>
    <border>
      <left style="hair"/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79" fontId="0" fillId="0" borderId="0" xfId="15" applyFill="1" applyAlignment="1">
      <alignment/>
    </xf>
    <xf numFmtId="179" fontId="0" fillId="0" borderId="0" xfId="15" applyAlignment="1">
      <alignment/>
    </xf>
    <xf numFmtId="0" fontId="0" fillId="0" borderId="0" xfId="0" applyFill="1" applyAlignment="1">
      <alignment/>
    </xf>
    <xf numFmtId="179" fontId="4" fillId="0" borderId="0" xfId="15" applyFont="1" applyAlignment="1">
      <alignment/>
    </xf>
    <xf numFmtId="0" fontId="4" fillId="0" borderId="0" xfId="0" applyFont="1" applyAlignment="1">
      <alignment/>
    </xf>
    <xf numFmtId="179" fontId="5" fillId="0" borderId="0" xfId="15" applyFont="1" applyAlignment="1">
      <alignment/>
    </xf>
    <xf numFmtId="0" fontId="5" fillId="0" borderId="0" xfId="0" applyFont="1" applyAlignment="1">
      <alignment/>
    </xf>
    <xf numFmtId="179" fontId="6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9" fontId="9" fillId="0" borderId="3" xfId="15" applyFont="1" applyFill="1" applyBorder="1" applyAlignment="1">
      <alignment/>
    </xf>
    <xf numFmtId="179" fontId="9" fillId="0" borderId="4" xfId="15" applyFont="1" applyFill="1" applyBorder="1" applyAlignment="1">
      <alignment/>
    </xf>
    <xf numFmtId="0" fontId="10" fillId="0" borderId="0" xfId="0" applyFont="1" applyAlignment="1">
      <alignment/>
    </xf>
    <xf numFmtId="179" fontId="9" fillId="0" borderId="5" xfId="15" applyFont="1" applyFill="1" applyBorder="1" applyAlignment="1">
      <alignment/>
    </xf>
    <xf numFmtId="0" fontId="11" fillId="0" borderId="6" xfId="0" applyFont="1" applyBorder="1" applyAlignment="1">
      <alignment horizontal="center"/>
    </xf>
    <xf numFmtId="179" fontId="9" fillId="0" borderId="3" xfId="15" applyFont="1" applyBorder="1" applyAlignment="1">
      <alignment/>
    </xf>
    <xf numFmtId="179" fontId="9" fillId="0" borderId="4" xfId="15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9" fontId="7" fillId="0" borderId="7" xfId="15" applyFont="1" applyBorder="1" applyAlignment="1">
      <alignment/>
    </xf>
    <xf numFmtId="179" fontId="7" fillId="0" borderId="8" xfId="15" applyFont="1" applyBorder="1" applyAlignment="1">
      <alignment/>
    </xf>
    <xf numFmtId="179" fontId="7" fillId="0" borderId="9" xfId="15" applyFont="1" applyBorder="1" applyAlignment="1">
      <alignment/>
    </xf>
    <xf numFmtId="179" fontId="7" fillId="0" borderId="0" xfId="15" applyFont="1" applyAlignment="1">
      <alignment/>
    </xf>
    <xf numFmtId="0" fontId="7" fillId="0" borderId="0" xfId="0" applyFont="1" applyAlignment="1">
      <alignment/>
    </xf>
    <xf numFmtId="179" fontId="3" fillId="2" borderId="10" xfId="15" applyFont="1" applyFill="1" applyBorder="1" applyAlignment="1">
      <alignment/>
    </xf>
    <xf numFmtId="179" fontId="3" fillId="2" borderId="11" xfId="15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179" fontId="3" fillId="2" borderId="12" xfId="15" applyFont="1" applyFill="1" applyBorder="1" applyAlignment="1">
      <alignment vertical="center"/>
    </xf>
    <xf numFmtId="179" fontId="3" fillId="2" borderId="13" xfId="15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3" fillId="0" borderId="15" xfId="15" applyFont="1" applyFill="1" applyBorder="1" applyAlignment="1">
      <alignment vertical="center"/>
    </xf>
    <xf numFmtId="179" fontId="3" fillId="0" borderId="16" xfId="1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9" fontId="3" fillId="0" borderId="17" xfId="15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9" fontId="3" fillId="0" borderId="5" xfId="15" applyFont="1" applyFill="1" applyBorder="1" applyAlignment="1">
      <alignment vertical="center"/>
    </xf>
    <xf numFmtId="179" fontId="3" fillId="0" borderId="0" xfId="15" applyFont="1" applyFill="1" applyBorder="1" applyAlignment="1">
      <alignment vertic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9" fontId="3" fillId="0" borderId="0" xfId="15" applyFont="1" applyFill="1" applyBorder="1" applyAlignment="1">
      <alignment/>
    </xf>
    <xf numFmtId="179" fontId="3" fillId="0" borderId="16" xfId="15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9" fontId="9" fillId="0" borderId="0" xfId="15" applyFont="1" applyFill="1" applyBorder="1" applyAlignment="1">
      <alignment/>
    </xf>
    <xf numFmtId="179" fontId="9" fillId="0" borderId="16" xfId="15" applyFont="1" applyFill="1" applyBorder="1" applyAlignment="1">
      <alignment/>
    </xf>
    <xf numFmtId="179" fontId="3" fillId="2" borderId="18" xfId="15" applyFont="1" applyFill="1" applyBorder="1" applyAlignment="1">
      <alignment vertical="center"/>
    </xf>
    <xf numFmtId="179" fontId="3" fillId="2" borderId="19" xfId="15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7" fillId="0" borderId="0" xfId="15" applyFont="1" applyFill="1" applyAlignment="1">
      <alignment/>
    </xf>
    <xf numFmtId="0" fontId="7" fillId="0" borderId="0" xfId="0" applyFont="1" applyFill="1" applyAlignment="1">
      <alignment/>
    </xf>
    <xf numFmtId="179" fontId="15" fillId="0" borderId="0" xfId="15" applyFont="1" applyFill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179" fontId="16" fillId="0" borderId="17" xfId="15" applyFont="1" applyBorder="1" applyAlignment="1">
      <alignment/>
    </xf>
    <xf numFmtId="179" fontId="16" fillId="0" borderId="8" xfId="15" applyFont="1" applyBorder="1" applyAlignment="1">
      <alignment/>
    </xf>
    <xf numFmtId="179" fontId="16" fillId="0" borderId="9" xfId="21" applyNumberFormat="1" applyFont="1" applyBorder="1" applyAlignment="1">
      <alignment/>
    </xf>
    <xf numFmtId="0" fontId="11" fillId="2" borderId="22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79" fontId="7" fillId="0" borderId="24" xfId="15" applyFont="1" applyBorder="1" applyAlignment="1">
      <alignment/>
    </xf>
    <xf numFmtId="179" fontId="7" fillId="0" borderId="4" xfId="15" applyFont="1" applyBorder="1" applyAlignment="1">
      <alignment/>
    </xf>
    <xf numFmtId="0" fontId="11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179" fontId="7" fillId="0" borderId="26" xfId="15" applyFont="1" applyFill="1" applyBorder="1" applyAlignment="1">
      <alignment/>
    </xf>
    <xf numFmtId="179" fontId="7" fillId="0" borderId="5" xfId="15" applyFont="1" applyFill="1" applyBorder="1" applyAlignment="1">
      <alignment/>
    </xf>
    <xf numFmtId="179" fontId="7" fillId="0" borderId="4" xfId="15" applyFont="1" applyFill="1" applyBorder="1" applyAlignment="1">
      <alignment/>
    </xf>
    <xf numFmtId="0" fontId="7" fillId="0" borderId="3" xfId="0" applyFont="1" applyBorder="1" applyAlignment="1">
      <alignment horizontal="center"/>
    </xf>
    <xf numFmtId="179" fontId="16" fillId="0" borderId="3" xfId="15" applyFont="1" applyBorder="1" applyAlignment="1">
      <alignment/>
    </xf>
    <xf numFmtId="179" fontId="16" fillId="0" borderId="5" xfId="15" applyFont="1" applyFill="1" applyBorder="1" applyAlignment="1">
      <alignment/>
    </xf>
    <xf numFmtId="179" fontId="16" fillId="0" borderId="4" xfId="15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3" xfId="0" applyFont="1" applyBorder="1" applyAlignment="1">
      <alignment horizontal="center"/>
    </xf>
    <xf numFmtId="179" fontId="3" fillId="0" borderId="3" xfId="15" applyFont="1" applyBorder="1" applyAlignment="1">
      <alignment/>
    </xf>
    <xf numFmtId="179" fontId="3" fillId="0" borderId="4" xfId="15" applyFont="1" applyBorder="1" applyAlignment="1">
      <alignment/>
    </xf>
    <xf numFmtId="179" fontId="17" fillId="0" borderId="3" xfId="15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179" fontId="7" fillId="0" borderId="3" xfId="15" applyFont="1" applyFill="1" applyBorder="1" applyAlignment="1">
      <alignment/>
    </xf>
    <xf numFmtId="0" fontId="7" fillId="0" borderId="6" xfId="0" applyFont="1" applyBorder="1" applyAlignment="1">
      <alignment horizontal="left"/>
    </xf>
    <xf numFmtId="179" fontId="16" fillId="0" borderId="3" xfId="15" applyFont="1" applyFill="1" applyBorder="1" applyAlignment="1">
      <alignment/>
    </xf>
    <xf numFmtId="0" fontId="7" fillId="0" borderId="1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16" fillId="0" borderId="3" xfId="21" applyNumberFormat="1" applyFont="1" applyBorder="1" applyAlignment="1">
      <alignment/>
    </xf>
    <xf numFmtId="10" fontId="16" fillId="0" borderId="4" xfId="21" applyNumberFormat="1" applyFont="1" applyBorder="1" applyAlignment="1">
      <alignment/>
    </xf>
    <xf numFmtId="179" fontId="7" fillId="0" borderId="3" xfId="15" applyFont="1" applyBorder="1" applyAlignment="1">
      <alignment/>
    </xf>
    <xf numFmtId="179" fontId="7" fillId="0" borderId="5" xfId="15" applyFont="1" applyBorder="1" applyAlignment="1">
      <alignment/>
    </xf>
    <xf numFmtId="179" fontId="16" fillId="0" borderId="5" xfId="15" applyFont="1" applyBorder="1" applyAlignment="1">
      <alignment/>
    </xf>
    <xf numFmtId="0" fontId="15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15" fillId="0" borderId="1" xfId="0" applyFont="1" applyBorder="1" applyAlignment="1">
      <alignment/>
    </xf>
    <xf numFmtId="0" fontId="7" fillId="0" borderId="6" xfId="0" applyFont="1" applyBorder="1" applyAlignment="1">
      <alignment/>
    </xf>
    <xf numFmtId="179" fontId="3" fillId="0" borderId="5" xfId="15" applyFont="1" applyBorder="1" applyAlignment="1">
      <alignment/>
    </xf>
    <xf numFmtId="0" fontId="7" fillId="0" borderId="6" xfId="0" applyFont="1" applyFill="1" applyBorder="1" applyAlignment="1">
      <alignment horizontal="left"/>
    </xf>
    <xf numFmtId="10" fontId="16" fillId="0" borderId="5" xfId="21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179" fontId="3" fillId="0" borderId="3" xfId="15" applyFont="1" applyFill="1" applyBorder="1" applyAlignment="1">
      <alignment/>
    </xf>
    <xf numFmtId="179" fontId="3" fillId="0" borderId="4" xfId="15" applyFont="1" applyFill="1" applyBorder="1" applyAlignment="1">
      <alignment/>
    </xf>
    <xf numFmtId="179" fontId="17" fillId="0" borderId="3" xfId="15" applyFont="1" applyBorder="1" applyAlignment="1">
      <alignment/>
    </xf>
    <xf numFmtId="0" fontId="9" fillId="0" borderId="27" xfId="0" applyFont="1" applyBorder="1" applyAlignment="1">
      <alignment horizontal="center"/>
    </xf>
    <xf numFmtId="179" fontId="3" fillId="0" borderId="5" xfId="15" applyFont="1" applyFill="1" applyBorder="1" applyAlignment="1">
      <alignment/>
    </xf>
    <xf numFmtId="0" fontId="15" fillId="2" borderId="28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center"/>
    </xf>
    <xf numFmtId="179" fontId="16" fillId="0" borderId="26" xfId="15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10" fontId="16" fillId="0" borderId="30" xfId="21" applyNumberFormat="1" applyFont="1" applyBorder="1" applyAlignment="1">
      <alignment/>
    </xf>
    <xf numFmtId="10" fontId="16" fillId="0" borderId="31" xfId="21" applyNumberFormat="1" applyFont="1" applyBorder="1" applyAlignment="1">
      <alignment/>
    </xf>
    <xf numFmtId="9" fontId="16" fillId="0" borderId="17" xfId="21" applyFont="1" applyBorder="1" applyAlignment="1">
      <alignment/>
    </xf>
    <xf numFmtId="9" fontId="16" fillId="0" borderId="32" xfId="21" applyFont="1" applyBorder="1" applyAlignment="1">
      <alignment/>
    </xf>
    <xf numFmtId="9" fontId="16" fillId="0" borderId="33" xfId="2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16" fillId="0" borderId="35" xfId="0" applyFont="1" applyBorder="1" applyAlignment="1">
      <alignment/>
    </xf>
    <xf numFmtId="9" fontId="16" fillId="0" borderId="36" xfId="21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9" fontId="7" fillId="0" borderId="2" xfId="15" applyFont="1" applyBorder="1" applyAlignment="1">
      <alignment/>
    </xf>
    <xf numFmtId="0" fontId="9" fillId="0" borderId="37" xfId="0" applyFont="1" applyBorder="1" applyAlignment="1">
      <alignment horizontal="center"/>
    </xf>
    <xf numFmtId="179" fontId="9" fillId="0" borderId="30" xfId="15" applyFont="1" applyBorder="1" applyAlignment="1">
      <alignment/>
    </xf>
    <xf numFmtId="179" fontId="9" fillId="0" borderId="38" xfId="15" applyFont="1" applyBorder="1" applyAlignment="1">
      <alignment/>
    </xf>
    <xf numFmtId="179" fontId="9" fillId="0" borderId="31" xfId="15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179" fontId="7" fillId="0" borderId="30" xfId="15" applyFont="1" applyBorder="1" applyAlignment="1">
      <alignment/>
    </xf>
    <xf numFmtId="179" fontId="7" fillId="0" borderId="38" xfId="15" applyFont="1" applyBorder="1" applyAlignment="1">
      <alignment/>
    </xf>
    <xf numFmtId="179" fontId="7" fillId="0" borderId="31" xfId="15" applyFont="1" applyBorder="1" applyAlignment="1">
      <alignment/>
    </xf>
    <xf numFmtId="179" fontId="7" fillId="0" borderId="30" xfId="15" applyFont="1" applyFill="1" applyBorder="1" applyAlignment="1">
      <alignment/>
    </xf>
    <xf numFmtId="179" fontId="7" fillId="0" borderId="38" xfId="15" applyFont="1" applyFill="1" applyBorder="1" applyAlignment="1">
      <alignment/>
    </xf>
    <xf numFmtId="0" fontId="3" fillId="0" borderId="27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center"/>
    </xf>
    <xf numFmtId="179" fontId="3" fillId="0" borderId="40" xfId="15" applyFont="1" applyFill="1" applyBorder="1" applyAlignment="1">
      <alignment/>
    </xf>
    <xf numFmtId="179" fontId="3" fillId="0" borderId="41" xfId="15" applyFont="1" applyFill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79" fontId="9" fillId="0" borderId="43" xfId="15" applyFont="1" applyBorder="1" applyAlignment="1">
      <alignment/>
    </xf>
    <xf numFmtId="179" fontId="9" fillId="0" borderId="44" xfId="15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79" fontId="16" fillId="0" borderId="30" xfId="15" applyFont="1" applyBorder="1" applyAlignment="1">
      <alignment/>
    </xf>
    <xf numFmtId="179" fontId="16" fillId="0" borderId="38" xfId="15" applyFont="1" applyBorder="1" applyAlignment="1">
      <alignment/>
    </xf>
    <xf numFmtId="179" fontId="16" fillId="0" borderId="31" xfId="15" applyFont="1" applyBorder="1" applyAlignment="1">
      <alignment/>
    </xf>
    <xf numFmtId="0" fontId="3" fillId="0" borderId="0" xfId="0" applyFont="1" applyFill="1" applyAlignment="1">
      <alignment horizontal="center"/>
    </xf>
    <xf numFmtId="0" fontId="11" fillId="2" borderId="45" xfId="0" applyFont="1" applyFill="1" applyBorder="1" applyAlignment="1">
      <alignment horizontal="left"/>
    </xf>
    <xf numFmtId="0" fontId="15" fillId="2" borderId="45" xfId="0" applyFont="1" applyFill="1" applyBorder="1" applyAlignment="1">
      <alignment/>
    </xf>
    <xf numFmtId="0" fontId="3" fillId="2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179" fontId="7" fillId="0" borderId="49" xfId="15" applyFont="1" applyBorder="1" applyAlignment="1">
      <alignment/>
    </xf>
    <xf numFmtId="9" fontId="16" fillId="0" borderId="3" xfId="21" applyFont="1" applyBorder="1" applyAlignment="1">
      <alignment/>
    </xf>
    <xf numFmtId="9" fontId="16" fillId="0" borderId="5" xfId="21" applyFont="1" applyBorder="1" applyAlignment="1">
      <alignment/>
    </xf>
    <xf numFmtId="9" fontId="16" fillId="0" borderId="4" xfId="21" applyFont="1" applyBorder="1" applyAlignment="1">
      <alignment/>
    </xf>
    <xf numFmtId="0" fontId="9" fillId="0" borderId="30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179" fontId="3" fillId="0" borderId="3" xfId="15" applyFont="1" applyFill="1" applyBorder="1" applyAlignment="1">
      <alignment vertical="center"/>
    </xf>
    <xf numFmtId="179" fontId="3" fillId="0" borderId="49" xfId="15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9" fontId="16" fillId="0" borderId="50" xfId="15" applyFont="1" applyBorder="1" applyAlignment="1">
      <alignment/>
    </xf>
    <xf numFmtId="179" fontId="16" fillId="0" borderId="51" xfId="21" applyNumberFormat="1" applyFont="1" applyBorder="1" applyAlignment="1">
      <alignment/>
    </xf>
    <xf numFmtId="179" fontId="3" fillId="0" borderId="4" xfId="15" applyFont="1" applyFill="1" applyBorder="1" applyAlignment="1">
      <alignment vertical="center"/>
    </xf>
    <xf numFmtId="0" fontId="7" fillId="0" borderId="5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79" fontId="3" fillId="0" borderId="17" xfId="15" applyFont="1" applyFill="1" applyBorder="1" applyAlignment="1">
      <alignment/>
    </xf>
    <xf numFmtId="179" fontId="3" fillId="0" borderId="32" xfId="15" applyFont="1" applyFill="1" applyBorder="1" applyAlignment="1">
      <alignment/>
    </xf>
    <xf numFmtId="0" fontId="8" fillId="0" borderId="53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5" fillId="0" borderId="40" xfId="0" applyFont="1" applyFill="1" applyBorder="1" applyAlignment="1">
      <alignment horizontal="left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79" fontId="3" fillId="0" borderId="15" xfId="15" applyFont="1" applyBorder="1" applyAlignment="1">
      <alignment horizontal="center" vertical="center" wrapText="1"/>
    </xf>
    <xf numFmtId="179" fontId="3" fillId="0" borderId="56" xfId="15" applyFont="1" applyBorder="1" applyAlignment="1">
      <alignment horizontal="center" vertical="center" wrapText="1"/>
    </xf>
    <xf numFmtId="179" fontId="16" fillId="0" borderId="43" xfId="15" applyFont="1" applyFill="1" applyBorder="1" applyAlignment="1">
      <alignment horizontal="right"/>
    </xf>
    <xf numFmtId="179" fontId="3" fillId="0" borderId="57" xfId="15" applyFont="1" applyBorder="1" applyAlignment="1">
      <alignment horizontal="center" vertical="center" wrapText="1"/>
    </xf>
    <xf numFmtId="179" fontId="3" fillId="0" borderId="44" xfId="15" applyFont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left"/>
    </xf>
    <xf numFmtId="0" fontId="3" fillId="2" borderId="59" xfId="0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5" fillId="0" borderId="26" xfId="0" applyFont="1" applyBorder="1" applyAlignment="1">
      <alignment horizontal="center"/>
    </xf>
    <xf numFmtId="179" fontId="3" fillId="0" borderId="26" xfId="15" applyFont="1" applyBorder="1" applyAlignment="1">
      <alignment/>
    </xf>
    <xf numFmtId="179" fontId="3" fillId="0" borderId="8" xfId="15" applyFont="1" applyBorder="1" applyAlignment="1">
      <alignment/>
    </xf>
    <xf numFmtId="179" fontId="3" fillId="0" borderId="9" xfId="15" applyFont="1" applyBorder="1" applyAlignment="1">
      <alignment/>
    </xf>
    <xf numFmtId="0" fontId="18" fillId="0" borderId="53" xfId="0" applyFont="1" applyBorder="1" applyAlignment="1">
      <alignment/>
    </xf>
    <xf numFmtId="10" fontId="16" fillId="0" borderId="53" xfId="21" applyNumberFormat="1" applyFont="1" applyBorder="1" applyAlignment="1">
      <alignment/>
    </xf>
    <xf numFmtId="0" fontId="15" fillId="0" borderId="53" xfId="0" applyFont="1" applyBorder="1" applyAlignment="1">
      <alignment horizontal="center"/>
    </xf>
    <xf numFmtId="0" fontId="7" fillId="0" borderId="5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view="pageBreakPreview" zoomScale="75" zoomScaleSheetLayoutView="75" workbookViewId="0" topLeftCell="A46">
      <selection activeCell="C66" sqref="C66"/>
    </sheetView>
  </sheetViews>
  <sheetFormatPr defaultColWidth="9.140625" defaultRowHeight="12.75"/>
  <cols>
    <col min="1" max="1" width="51.28125" style="0" customWidth="1"/>
    <col min="2" max="2" width="20.28125" style="54" customWidth="1"/>
    <col min="3" max="3" width="26.28125" style="2" bestFit="1" customWidth="1"/>
    <col min="4" max="4" width="23.8515625" style="2" bestFit="1" customWidth="1"/>
    <col min="5" max="5" width="26.28125" style="2" bestFit="1" customWidth="1"/>
    <col min="6" max="6" width="16.8515625" style="2" customWidth="1"/>
  </cols>
  <sheetData>
    <row r="1" spans="1:5" ht="15.75">
      <c r="A1" s="60"/>
      <c r="B1" s="58"/>
      <c r="C1" s="59"/>
      <c r="D1" s="59"/>
      <c r="E1" s="61" t="s">
        <v>47</v>
      </c>
    </row>
    <row r="2" spans="1:7" ht="15">
      <c r="A2" s="60"/>
      <c r="B2" s="58"/>
      <c r="C2" s="204"/>
      <c r="D2" s="204"/>
      <c r="E2" s="204"/>
      <c r="F2" s="204"/>
      <c r="G2" s="204"/>
    </row>
    <row r="3" spans="1:6" s="5" customFormat="1" ht="23.25" customHeight="1">
      <c r="A3" s="209" t="s">
        <v>116</v>
      </c>
      <c r="B3" s="209"/>
      <c r="C3" s="209"/>
      <c r="D3" s="209"/>
      <c r="E3" s="209"/>
      <c r="F3" s="4"/>
    </row>
    <row r="4" spans="1:6" s="5" customFormat="1" ht="21.75" customHeight="1">
      <c r="A4" s="204" t="s">
        <v>115</v>
      </c>
      <c r="B4" s="204"/>
      <c r="C4" s="204"/>
      <c r="D4" s="204"/>
      <c r="E4" s="204"/>
      <c r="F4" s="4"/>
    </row>
    <row r="5" spans="1:6" s="5" customFormat="1" ht="21.75" customHeight="1">
      <c r="A5" s="157"/>
      <c r="B5" s="157"/>
      <c r="C5" s="157"/>
      <c r="D5" s="157"/>
      <c r="E5" s="157"/>
      <c r="F5" s="4"/>
    </row>
    <row r="6" spans="1:6" s="5" customFormat="1" ht="16.5" customHeight="1">
      <c r="A6" s="157"/>
      <c r="B6" s="157"/>
      <c r="C6" s="157"/>
      <c r="D6" s="157" t="s">
        <v>114</v>
      </c>
      <c r="E6" s="157"/>
      <c r="F6" s="4"/>
    </row>
    <row r="7" spans="1:6" s="7" customFormat="1" ht="16.5" customHeight="1">
      <c r="A7" s="157"/>
      <c r="B7" s="157"/>
      <c r="C7" s="157"/>
      <c r="E7" s="157"/>
      <c r="F7" s="6"/>
    </row>
    <row r="8" spans="1:5" ht="15.75" thickBot="1">
      <c r="A8" s="60"/>
      <c r="B8" s="58"/>
      <c r="C8" s="189" t="s">
        <v>53</v>
      </c>
      <c r="D8" s="189"/>
      <c r="E8" s="189"/>
    </row>
    <row r="9" spans="1:6" s="9" customFormat="1" ht="18.75" customHeight="1" thickTop="1">
      <c r="A9" s="210" t="s">
        <v>48</v>
      </c>
      <c r="B9" s="212" t="s">
        <v>49</v>
      </c>
      <c r="C9" s="187" t="s">
        <v>50</v>
      </c>
      <c r="D9" s="187" t="s">
        <v>51</v>
      </c>
      <c r="E9" s="190" t="s">
        <v>52</v>
      </c>
      <c r="F9" s="8"/>
    </row>
    <row r="10" spans="1:6" s="9" customFormat="1" ht="18.75" customHeight="1" thickBot="1">
      <c r="A10" s="211"/>
      <c r="B10" s="213"/>
      <c r="C10" s="188"/>
      <c r="D10" s="188"/>
      <c r="E10" s="191"/>
      <c r="F10" s="8"/>
    </row>
    <row r="11" spans="1:5" ht="15.75" thickTop="1">
      <c r="A11" s="62"/>
      <c r="B11" s="63"/>
      <c r="C11" s="22"/>
      <c r="D11" s="23"/>
      <c r="E11" s="24"/>
    </row>
    <row r="12" spans="1:6" ht="15.75" thickBot="1">
      <c r="A12" s="197"/>
      <c r="B12" s="198"/>
      <c r="C12" s="64"/>
      <c r="D12" s="65"/>
      <c r="E12" s="66"/>
      <c r="F12" s="2">
        <f aca="true" t="shared" si="0" ref="F12:F43">C12+D12-E12</f>
        <v>0</v>
      </c>
    </row>
    <row r="13" spans="1:6" s="10" customFormat="1" ht="21.75" customHeight="1" thickBot="1">
      <c r="A13" s="67" t="s">
        <v>54</v>
      </c>
      <c r="B13" s="68"/>
      <c r="C13" s="69"/>
      <c r="D13" s="70"/>
      <c r="E13" s="71"/>
      <c r="F13" s="2">
        <f t="shared" si="0"/>
        <v>0</v>
      </c>
    </row>
    <row r="14" spans="1:6" s="3" customFormat="1" ht="15">
      <c r="A14" s="72"/>
      <c r="B14" s="73"/>
      <c r="C14" s="74"/>
      <c r="D14" s="75"/>
      <c r="E14" s="76"/>
      <c r="F14" s="2">
        <f t="shared" si="0"/>
        <v>0</v>
      </c>
    </row>
    <row r="15" spans="1:6" ht="19.5" customHeight="1">
      <c r="A15" s="17" t="s">
        <v>0</v>
      </c>
      <c r="B15" s="77" t="s">
        <v>1</v>
      </c>
      <c r="C15" s="78">
        <v>650000000</v>
      </c>
      <c r="D15" s="79">
        <v>0</v>
      </c>
      <c r="E15" s="80">
        <f>C15+D15</f>
        <v>650000000</v>
      </c>
      <c r="F15" s="2">
        <f t="shared" si="0"/>
        <v>0</v>
      </c>
    </row>
    <row r="16" spans="1:6" ht="19.5" customHeight="1">
      <c r="A16" s="81"/>
      <c r="B16" s="82" t="s">
        <v>1</v>
      </c>
      <c r="C16" s="83">
        <f>SUM(C15)</f>
        <v>650000000</v>
      </c>
      <c r="D16" s="78">
        <f>SUM(D15)</f>
        <v>0</v>
      </c>
      <c r="E16" s="84">
        <f>SUM(E15)</f>
        <v>650000000</v>
      </c>
      <c r="F16" s="2">
        <f t="shared" si="0"/>
        <v>0</v>
      </c>
    </row>
    <row r="17" spans="1:6" s="15" customFormat="1" ht="19.5" customHeight="1">
      <c r="A17" s="185" t="s">
        <v>55</v>
      </c>
      <c r="B17" s="186"/>
      <c r="C17" s="13">
        <f>C16*$B$190</f>
        <v>955480500</v>
      </c>
      <c r="D17" s="85">
        <f>D16*$B$190</f>
        <v>0</v>
      </c>
      <c r="E17" s="14">
        <f>E16*$B$190</f>
        <v>955480500</v>
      </c>
      <c r="F17" s="2">
        <f t="shared" si="0"/>
        <v>0</v>
      </c>
    </row>
    <row r="18" spans="1:6" s="15" customFormat="1" ht="19.5" customHeight="1">
      <c r="A18" s="11"/>
      <c r="B18" s="12"/>
      <c r="C18" s="13"/>
      <c r="D18" s="16"/>
      <c r="E18" s="14"/>
      <c r="F18" s="2">
        <f t="shared" si="0"/>
        <v>0</v>
      </c>
    </row>
    <row r="19" spans="1:6" s="3" customFormat="1" ht="19.5" customHeight="1">
      <c r="A19" s="17" t="s">
        <v>2</v>
      </c>
      <c r="B19" s="86"/>
      <c r="C19" s="87"/>
      <c r="D19" s="75"/>
      <c r="E19" s="76"/>
      <c r="F19" s="2">
        <f t="shared" si="0"/>
        <v>0</v>
      </c>
    </row>
    <row r="20" spans="1:6" ht="19.5" customHeight="1">
      <c r="A20" s="88" t="s">
        <v>78</v>
      </c>
      <c r="B20" s="77" t="s">
        <v>3</v>
      </c>
      <c r="C20" s="89">
        <v>468406582.62</v>
      </c>
      <c r="D20" s="79">
        <v>0</v>
      </c>
      <c r="E20" s="80">
        <f aca="true" t="shared" si="1" ref="E20:E25">C20+D20</f>
        <v>468406582.62</v>
      </c>
      <c r="F20" s="2">
        <f t="shared" si="0"/>
        <v>0</v>
      </c>
    </row>
    <row r="21" spans="1:6" ht="19.5" customHeight="1">
      <c r="A21" s="88" t="s">
        <v>79</v>
      </c>
      <c r="B21" s="77" t="s">
        <v>3</v>
      </c>
      <c r="C21" s="89">
        <v>900368823.92</v>
      </c>
      <c r="D21" s="79">
        <v>0</v>
      </c>
      <c r="E21" s="80">
        <f t="shared" si="1"/>
        <v>900368823.92</v>
      </c>
      <c r="F21" s="2">
        <f t="shared" si="0"/>
        <v>0</v>
      </c>
    </row>
    <row r="22" spans="1:6" ht="19.5" customHeight="1">
      <c r="A22" s="88" t="s">
        <v>80</v>
      </c>
      <c r="B22" s="77" t="s">
        <v>3</v>
      </c>
      <c r="C22" s="78">
        <v>422555774.99</v>
      </c>
      <c r="D22" s="79">
        <v>0</v>
      </c>
      <c r="E22" s="80">
        <f t="shared" si="1"/>
        <v>422555774.99</v>
      </c>
      <c r="F22" s="2">
        <f t="shared" si="0"/>
        <v>0</v>
      </c>
    </row>
    <row r="23" spans="1:6" ht="19.5" customHeight="1">
      <c r="A23" s="88" t="s">
        <v>81</v>
      </c>
      <c r="B23" s="77" t="s">
        <v>3</v>
      </c>
      <c r="C23" s="78">
        <v>0</v>
      </c>
      <c r="D23" s="79">
        <v>57895924.21</v>
      </c>
      <c r="E23" s="80">
        <f t="shared" si="1"/>
        <v>57895924.21</v>
      </c>
      <c r="F23" s="2">
        <f t="shared" si="0"/>
        <v>0</v>
      </c>
    </row>
    <row r="24" spans="1:6" ht="19.5" customHeight="1">
      <c r="A24" s="88" t="s">
        <v>82</v>
      </c>
      <c r="B24" s="77" t="s">
        <v>3</v>
      </c>
      <c r="C24" s="78">
        <v>0</v>
      </c>
      <c r="D24" s="79">
        <v>142590357.39</v>
      </c>
      <c r="E24" s="80">
        <f t="shared" si="1"/>
        <v>142590357.39</v>
      </c>
      <c r="F24" s="2">
        <f t="shared" si="0"/>
        <v>0</v>
      </c>
    </row>
    <row r="25" spans="1:6" ht="19.5" customHeight="1">
      <c r="A25" s="88" t="s">
        <v>83</v>
      </c>
      <c r="B25" s="77" t="s">
        <v>3</v>
      </c>
      <c r="C25" s="78">
        <v>0</v>
      </c>
      <c r="D25" s="79">
        <v>66774115.33</v>
      </c>
      <c r="E25" s="80">
        <f t="shared" si="1"/>
        <v>66774115.33</v>
      </c>
      <c r="F25" s="2">
        <f t="shared" si="0"/>
        <v>0</v>
      </c>
    </row>
    <row r="26" spans="1:6" ht="19.5" customHeight="1">
      <c r="A26" s="90"/>
      <c r="B26" s="82" t="s">
        <v>3</v>
      </c>
      <c r="C26" s="83">
        <f>SUM(C20:C25)</f>
        <v>1791331181.53</v>
      </c>
      <c r="D26" s="83">
        <f>SUM(D20:D25)</f>
        <v>267260396.93</v>
      </c>
      <c r="E26" s="84">
        <f>SUM(E20:E25)</f>
        <v>2058591578.46</v>
      </c>
      <c r="F26" s="2">
        <f t="shared" si="0"/>
        <v>0</v>
      </c>
    </row>
    <row r="27" spans="1:6" s="15" customFormat="1" ht="19.5" customHeight="1">
      <c r="A27" s="185" t="s">
        <v>55</v>
      </c>
      <c r="B27" s="186"/>
      <c r="C27" s="18">
        <f>C26*$B$182/$B$185</f>
        <v>2246150549.8437</v>
      </c>
      <c r="D27" s="18">
        <f>D26*$B$182/$B$185</f>
        <v>335117868.60263026</v>
      </c>
      <c r="E27" s="19">
        <f>E26*$B$182/$B$185</f>
        <v>2581268418.44633</v>
      </c>
      <c r="F27" s="2">
        <f t="shared" si="0"/>
        <v>0</v>
      </c>
    </row>
    <row r="28" spans="1:6" ht="19.5" customHeight="1">
      <c r="A28" s="91"/>
      <c r="B28" s="92"/>
      <c r="C28" s="93"/>
      <c r="D28" s="93"/>
      <c r="E28" s="94"/>
      <c r="F28" s="2">
        <f t="shared" si="0"/>
        <v>0</v>
      </c>
    </row>
    <row r="29" spans="1:6" ht="19.5" customHeight="1">
      <c r="A29" s="17" t="s">
        <v>4</v>
      </c>
      <c r="B29" s="77"/>
      <c r="C29" s="95"/>
      <c r="D29" s="96"/>
      <c r="E29" s="71"/>
      <c r="F29" s="2">
        <f t="shared" si="0"/>
        <v>0</v>
      </c>
    </row>
    <row r="30" spans="1:6" ht="19.5" customHeight="1">
      <c r="A30" s="88" t="s">
        <v>5</v>
      </c>
      <c r="B30" s="77" t="s">
        <v>1</v>
      </c>
      <c r="C30" s="78">
        <v>68100000</v>
      </c>
      <c r="D30" s="97">
        <v>0</v>
      </c>
      <c r="E30" s="80">
        <f aca="true" t="shared" si="2" ref="E30:E54">C30+D30</f>
        <v>68100000</v>
      </c>
      <c r="F30" s="2">
        <f t="shared" si="0"/>
        <v>0</v>
      </c>
    </row>
    <row r="31" spans="1:6" ht="19.5" customHeight="1">
      <c r="A31" s="88" t="s">
        <v>6</v>
      </c>
      <c r="B31" s="77" t="s">
        <v>1</v>
      </c>
      <c r="C31" s="78">
        <v>55500000</v>
      </c>
      <c r="D31" s="97">
        <v>0</v>
      </c>
      <c r="E31" s="80">
        <f t="shared" si="2"/>
        <v>55500000</v>
      </c>
      <c r="F31" s="2">
        <f t="shared" si="0"/>
        <v>0</v>
      </c>
    </row>
    <row r="32" spans="1:6" ht="19.5" customHeight="1">
      <c r="A32" s="88" t="s">
        <v>7</v>
      </c>
      <c r="B32" s="77" t="s">
        <v>1</v>
      </c>
      <c r="C32" s="78">
        <v>6253690.87</v>
      </c>
      <c r="D32" s="97">
        <v>0</v>
      </c>
      <c r="E32" s="80">
        <f t="shared" si="2"/>
        <v>6253690.87</v>
      </c>
      <c r="F32" s="2">
        <f t="shared" si="0"/>
        <v>0</v>
      </c>
    </row>
    <row r="33" spans="1:6" ht="19.5" customHeight="1">
      <c r="A33" s="88" t="s">
        <v>8</v>
      </c>
      <c r="B33" s="77" t="s">
        <v>1</v>
      </c>
      <c r="C33" s="78">
        <v>2246196.15</v>
      </c>
      <c r="D33" s="97">
        <v>0</v>
      </c>
      <c r="E33" s="80">
        <f t="shared" si="2"/>
        <v>2246196.15</v>
      </c>
      <c r="F33" s="2">
        <f t="shared" si="0"/>
        <v>0</v>
      </c>
    </row>
    <row r="34" spans="1:6" ht="19.5" customHeight="1">
      <c r="A34" s="88" t="s">
        <v>9</v>
      </c>
      <c r="B34" s="77" t="s">
        <v>1</v>
      </c>
      <c r="C34" s="78">
        <v>0</v>
      </c>
      <c r="D34" s="79">
        <v>11900000</v>
      </c>
      <c r="E34" s="80">
        <f t="shared" si="2"/>
        <v>11900000</v>
      </c>
      <c r="F34" s="2">
        <f t="shared" si="0"/>
        <v>0</v>
      </c>
    </row>
    <row r="35" spans="1:6" ht="19.5" customHeight="1">
      <c r="A35" s="88" t="s">
        <v>10</v>
      </c>
      <c r="B35" s="77" t="s">
        <v>1</v>
      </c>
      <c r="C35" s="78">
        <v>7998390.8</v>
      </c>
      <c r="D35" s="79">
        <v>754763.1</v>
      </c>
      <c r="E35" s="80">
        <f t="shared" si="2"/>
        <v>8753153.9</v>
      </c>
      <c r="F35" s="2">
        <f t="shared" si="0"/>
        <v>0</v>
      </c>
    </row>
    <row r="36" spans="1:6" ht="19.5" customHeight="1">
      <c r="A36" s="88" t="s">
        <v>11</v>
      </c>
      <c r="B36" s="77" t="s">
        <v>1</v>
      </c>
      <c r="C36" s="78">
        <v>0</v>
      </c>
      <c r="D36" s="79">
        <v>1155919.88</v>
      </c>
      <c r="E36" s="80">
        <f t="shared" si="2"/>
        <v>1155919.88</v>
      </c>
      <c r="F36" s="2">
        <f t="shared" si="0"/>
        <v>0</v>
      </c>
    </row>
    <row r="37" spans="1:6" ht="19.5" customHeight="1">
      <c r="A37" s="88" t="s">
        <v>12</v>
      </c>
      <c r="B37" s="77" t="s">
        <v>1</v>
      </c>
      <c r="C37" s="78">
        <v>0</v>
      </c>
      <c r="D37" s="79">
        <v>1083080.41</v>
      </c>
      <c r="E37" s="80">
        <f t="shared" si="2"/>
        <v>1083080.41</v>
      </c>
      <c r="F37" s="2">
        <f t="shared" si="0"/>
        <v>0</v>
      </c>
    </row>
    <row r="38" spans="1:6" ht="19.5" customHeight="1">
      <c r="A38" s="88" t="s">
        <v>13</v>
      </c>
      <c r="B38" s="77" t="s">
        <v>1</v>
      </c>
      <c r="C38" s="78">
        <v>0</v>
      </c>
      <c r="D38" s="79">
        <v>284770.85</v>
      </c>
      <c r="E38" s="80">
        <f t="shared" si="2"/>
        <v>284770.85</v>
      </c>
      <c r="F38" s="2">
        <f t="shared" si="0"/>
        <v>0</v>
      </c>
    </row>
    <row r="39" spans="1:6" ht="19.5" customHeight="1">
      <c r="A39" s="88" t="s">
        <v>14</v>
      </c>
      <c r="B39" s="77" t="s">
        <v>1</v>
      </c>
      <c r="C39" s="78">
        <v>0</v>
      </c>
      <c r="D39" s="79">
        <v>403466.69</v>
      </c>
      <c r="E39" s="80">
        <f t="shared" si="2"/>
        <v>403466.69</v>
      </c>
      <c r="F39" s="2">
        <f t="shared" si="0"/>
        <v>0</v>
      </c>
    </row>
    <row r="40" spans="1:6" ht="19.5" customHeight="1">
      <c r="A40" s="88" t="s">
        <v>15</v>
      </c>
      <c r="B40" s="77" t="s">
        <v>1</v>
      </c>
      <c r="C40" s="78">
        <v>60400000</v>
      </c>
      <c r="D40" s="97">
        <v>0</v>
      </c>
      <c r="E40" s="80">
        <f t="shared" si="2"/>
        <v>60400000</v>
      </c>
      <c r="F40" s="2">
        <f t="shared" si="0"/>
        <v>0</v>
      </c>
    </row>
    <row r="41" spans="1:6" ht="19.5" customHeight="1">
      <c r="A41" s="88" t="s">
        <v>16</v>
      </c>
      <c r="B41" s="77" t="s">
        <v>1</v>
      </c>
      <c r="C41" s="78">
        <v>1150800.65</v>
      </c>
      <c r="D41" s="97">
        <v>0</v>
      </c>
      <c r="E41" s="80">
        <f t="shared" si="2"/>
        <v>1150800.65</v>
      </c>
      <c r="F41" s="2">
        <f t="shared" si="0"/>
        <v>0</v>
      </c>
    </row>
    <row r="42" spans="1:6" ht="19.5" customHeight="1">
      <c r="A42" s="88" t="s">
        <v>17</v>
      </c>
      <c r="B42" s="77" t="s">
        <v>1</v>
      </c>
      <c r="C42" s="78">
        <v>5049666.94</v>
      </c>
      <c r="D42" s="97">
        <v>0</v>
      </c>
      <c r="E42" s="80">
        <f t="shared" si="2"/>
        <v>5049666.94</v>
      </c>
      <c r="F42" s="2">
        <f t="shared" si="0"/>
        <v>0</v>
      </c>
    </row>
    <row r="43" spans="1:6" ht="19.5" customHeight="1">
      <c r="A43" s="88" t="s">
        <v>18</v>
      </c>
      <c r="B43" s="77" t="s">
        <v>1</v>
      </c>
      <c r="C43" s="78">
        <v>1242943.23</v>
      </c>
      <c r="D43" s="97">
        <v>0</v>
      </c>
      <c r="E43" s="80">
        <f t="shared" si="2"/>
        <v>1242943.23</v>
      </c>
      <c r="F43" s="2">
        <f t="shared" si="0"/>
        <v>0</v>
      </c>
    </row>
    <row r="44" spans="1:6" ht="19.5" customHeight="1">
      <c r="A44" s="88" t="s">
        <v>19</v>
      </c>
      <c r="B44" s="77" t="s">
        <v>1</v>
      </c>
      <c r="C44" s="78">
        <v>1428437.66</v>
      </c>
      <c r="D44" s="97">
        <v>0</v>
      </c>
      <c r="E44" s="80">
        <f t="shared" si="2"/>
        <v>1428437.66</v>
      </c>
      <c r="F44" s="2">
        <f aca="true" t="shared" si="3" ref="F44:F76">C44+D44-E44</f>
        <v>0</v>
      </c>
    </row>
    <row r="45" spans="1:6" ht="19.5" customHeight="1">
      <c r="A45" s="88" t="s">
        <v>20</v>
      </c>
      <c r="B45" s="77" t="s">
        <v>1</v>
      </c>
      <c r="C45" s="78">
        <v>6333164.34</v>
      </c>
      <c r="D45" s="97">
        <v>0</v>
      </c>
      <c r="E45" s="80">
        <f t="shared" si="2"/>
        <v>6333164.34</v>
      </c>
      <c r="F45" s="2">
        <f t="shared" si="3"/>
        <v>0</v>
      </c>
    </row>
    <row r="46" spans="1:6" ht="19.5" customHeight="1">
      <c r="A46" s="88" t="s">
        <v>21</v>
      </c>
      <c r="B46" s="77" t="s">
        <v>1</v>
      </c>
      <c r="C46" s="78">
        <v>2085679.29</v>
      </c>
      <c r="D46" s="97">
        <v>325092.71</v>
      </c>
      <c r="E46" s="80">
        <f t="shared" si="2"/>
        <v>2410772</v>
      </c>
      <c r="F46" s="2">
        <f t="shared" si="3"/>
        <v>0</v>
      </c>
    </row>
    <row r="47" spans="1:6" ht="19.5" customHeight="1">
      <c r="A47" s="88" t="s">
        <v>22</v>
      </c>
      <c r="B47" s="77" t="s">
        <v>1</v>
      </c>
      <c r="C47" s="78">
        <v>0</v>
      </c>
      <c r="D47" s="79">
        <v>6150000</v>
      </c>
      <c r="E47" s="80">
        <f t="shared" si="2"/>
        <v>6150000</v>
      </c>
      <c r="F47" s="2">
        <f t="shared" si="3"/>
        <v>0</v>
      </c>
    </row>
    <row r="48" spans="1:6" ht="19.5" customHeight="1">
      <c r="A48" s="88" t="s">
        <v>23</v>
      </c>
      <c r="B48" s="77" t="s">
        <v>1</v>
      </c>
      <c r="C48" s="78">
        <v>58700000</v>
      </c>
      <c r="D48" s="97">
        <v>0</v>
      </c>
      <c r="E48" s="80">
        <f t="shared" si="2"/>
        <v>58700000</v>
      </c>
      <c r="F48" s="2">
        <f t="shared" si="3"/>
        <v>0</v>
      </c>
    </row>
    <row r="49" spans="1:6" ht="19.5" customHeight="1">
      <c r="A49" s="88" t="s">
        <v>24</v>
      </c>
      <c r="B49" s="77" t="s">
        <v>1</v>
      </c>
      <c r="C49" s="78">
        <v>0</v>
      </c>
      <c r="D49" s="79">
        <v>1593562.68</v>
      </c>
      <c r="E49" s="80">
        <f t="shared" si="2"/>
        <v>1593562.68</v>
      </c>
      <c r="F49" s="2">
        <f t="shared" si="3"/>
        <v>0</v>
      </c>
    </row>
    <row r="50" spans="1:6" ht="19.5" customHeight="1">
      <c r="A50" s="88" t="s">
        <v>25</v>
      </c>
      <c r="B50" s="77" t="s">
        <v>1</v>
      </c>
      <c r="C50" s="78">
        <v>30100000</v>
      </c>
      <c r="D50" s="79">
        <v>0</v>
      </c>
      <c r="E50" s="80">
        <f t="shared" si="2"/>
        <v>30100000</v>
      </c>
      <c r="F50" s="2">
        <f t="shared" si="3"/>
        <v>0</v>
      </c>
    </row>
    <row r="51" spans="1:6" ht="19.5" customHeight="1">
      <c r="A51" s="88" t="s">
        <v>26</v>
      </c>
      <c r="B51" s="77" t="s">
        <v>1</v>
      </c>
      <c r="C51" s="78">
        <v>0</v>
      </c>
      <c r="D51" s="79">
        <v>0</v>
      </c>
      <c r="E51" s="80">
        <f t="shared" si="2"/>
        <v>0</v>
      </c>
      <c r="F51" s="2">
        <f t="shared" si="3"/>
        <v>0</v>
      </c>
    </row>
    <row r="52" spans="1:6" ht="19.5" customHeight="1">
      <c r="A52" s="88" t="s">
        <v>27</v>
      </c>
      <c r="B52" s="77" t="s">
        <v>1</v>
      </c>
      <c r="C52" s="78">
        <v>0</v>
      </c>
      <c r="D52" s="79">
        <v>0</v>
      </c>
      <c r="E52" s="80">
        <f t="shared" si="2"/>
        <v>0</v>
      </c>
      <c r="F52" s="2">
        <f t="shared" si="3"/>
        <v>0</v>
      </c>
    </row>
    <row r="53" spans="1:6" ht="19.5" customHeight="1">
      <c r="A53" s="88" t="s">
        <v>28</v>
      </c>
      <c r="B53" s="77" t="s">
        <v>1</v>
      </c>
      <c r="C53" s="78">
        <v>38000000</v>
      </c>
      <c r="D53" s="79">
        <v>0</v>
      </c>
      <c r="E53" s="80">
        <f t="shared" si="2"/>
        <v>38000000</v>
      </c>
      <c r="F53" s="2">
        <f t="shared" si="3"/>
        <v>0</v>
      </c>
    </row>
    <row r="54" spans="1:6" ht="19.5" customHeight="1">
      <c r="A54" s="88" t="s">
        <v>29</v>
      </c>
      <c r="B54" s="77" t="s">
        <v>1</v>
      </c>
      <c r="C54" s="78">
        <v>0</v>
      </c>
      <c r="D54" s="79">
        <v>0</v>
      </c>
      <c r="E54" s="80">
        <f t="shared" si="2"/>
        <v>0</v>
      </c>
      <c r="F54" s="2">
        <f t="shared" si="3"/>
        <v>0</v>
      </c>
    </row>
    <row r="55" spans="1:6" ht="19.5" customHeight="1">
      <c r="A55" s="90"/>
      <c r="B55" s="82" t="s">
        <v>1</v>
      </c>
      <c r="C55" s="83">
        <f>SUM(C30:C54)</f>
        <v>344588969.93</v>
      </c>
      <c r="D55" s="83">
        <f>SUM(D30:D54)</f>
        <v>23650656.32</v>
      </c>
      <c r="E55" s="84">
        <f>SUM(E30:E54)</f>
        <v>368239626.25</v>
      </c>
      <c r="F55" s="2">
        <f t="shared" si="3"/>
        <v>0</v>
      </c>
    </row>
    <row r="56" spans="1:6" ht="24.75" customHeight="1">
      <c r="A56" s="81" t="s">
        <v>56</v>
      </c>
      <c r="B56" s="98"/>
      <c r="C56" s="83"/>
      <c r="D56" s="83"/>
      <c r="E56" s="84"/>
      <c r="F56" s="2">
        <f t="shared" si="3"/>
        <v>0</v>
      </c>
    </row>
    <row r="57" spans="1:6" ht="32.25" customHeight="1">
      <c r="A57" s="99" t="s">
        <v>106</v>
      </c>
      <c r="B57" s="82" t="s">
        <v>30</v>
      </c>
      <c r="C57" s="78">
        <v>0</v>
      </c>
      <c r="D57" s="79">
        <v>0</v>
      </c>
      <c r="E57" s="84">
        <f>C57+D57</f>
        <v>0</v>
      </c>
      <c r="F57" s="2">
        <f t="shared" si="3"/>
        <v>0</v>
      </c>
    </row>
    <row r="58" spans="1:6" ht="19.5" customHeight="1">
      <c r="A58" s="100"/>
      <c r="B58" s="98"/>
      <c r="C58" s="83"/>
      <c r="D58" s="83"/>
      <c r="E58" s="84"/>
      <c r="F58" s="2">
        <f t="shared" si="3"/>
        <v>0</v>
      </c>
    </row>
    <row r="59" spans="1:6" s="15" customFormat="1" ht="19.5" customHeight="1">
      <c r="A59" s="185" t="s">
        <v>55</v>
      </c>
      <c r="B59" s="186"/>
      <c r="C59" s="13">
        <f>C55*$B$190+C57</f>
        <v>506535448.1280021</v>
      </c>
      <c r="D59" s="13">
        <f>D55*$B$190+D57</f>
        <v>34765755.2707104</v>
      </c>
      <c r="E59" s="14">
        <f>E55*$B$190+E57</f>
        <v>541301203.3987125</v>
      </c>
      <c r="F59" s="2">
        <f t="shared" si="3"/>
        <v>0</v>
      </c>
    </row>
    <row r="60" spans="1:6" s="15" customFormat="1" ht="19.5" customHeight="1">
      <c r="A60" s="11"/>
      <c r="B60" s="12"/>
      <c r="C60" s="13"/>
      <c r="D60" s="13"/>
      <c r="E60" s="14"/>
      <c r="F60" s="2"/>
    </row>
    <row r="61" spans="1:6" ht="20.25">
      <c r="A61" s="223"/>
      <c r="B61" s="222"/>
      <c r="C61" s="221"/>
      <c r="D61" s="221"/>
      <c r="E61" s="220">
        <v>14</v>
      </c>
      <c r="F61" s="2">
        <f t="shared" si="3"/>
        <v>-14</v>
      </c>
    </row>
    <row r="62" spans="1:6" ht="15.75">
      <c r="A62" s="122"/>
      <c r="B62" s="216"/>
      <c r="C62" s="217"/>
      <c r="D62" s="218"/>
      <c r="E62" s="219"/>
      <c r="F62" s="2">
        <f t="shared" si="3"/>
        <v>0</v>
      </c>
    </row>
    <row r="63" spans="1:6" ht="18" customHeight="1">
      <c r="A63" s="17" t="s">
        <v>31</v>
      </c>
      <c r="B63" s="77"/>
      <c r="C63" s="95"/>
      <c r="D63" s="96"/>
      <c r="E63" s="71"/>
      <c r="F63" s="2">
        <f t="shared" si="3"/>
        <v>0</v>
      </c>
    </row>
    <row r="64" spans="1:6" s="20" customFormat="1" ht="18" customHeight="1">
      <c r="A64" s="103" t="s">
        <v>84</v>
      </c>
      <c r="B64" s="77" t="s">
        <v>3</v>
      </c>
      <c r="C64" s="89">
        <v>37062050.82</v>
      </c>
      <c r="D64" s="97">
        <v>0</v>
      </c>
      <c r="E64" s="80">
        <f aca="true" t="shared" si="4" ref="E64:E79">C64+D64</f>
        <v>37062050.82</v>
      </c>
      <c r="F64" s="2">
        <f t="shared" si="3"/>
        <v>0</v>
      </c>
    </row>
    <row r="65" spans="1:6" s="20" customFormat="1" ht="18" customHeight="1">
      <c r="A65" s="103" t="s">
        <v>85</v>
      </c>
      <c r="B65" s="77" t="s">
        <v>3</v>
      </c>
      <c r="C65" s="78">
        <v>27540094.31</v>
      </c>
      <c r="D65" s="97">
        <v>0</v>
      </c>
      <c r="E65" s="80">
        <f t="shared" si="4"/>
        <v>27540094.31</v>
      </c>
      <c r="F65" s="2">
        <f t="shared" si="3"/>
        <v>0</v>
      </c>
    </row>
    <row r="66" spans="1:6" s="20" customFormat="1" ht="18" customHeight="1">
      <c r="A66" s="103" t="s">
        <v>86</v>
      </c>
      <c r="B66" s="77" t="s">
        <v>3</v>
      </c>
      <c r="C66" s="89">
        <v>50000000</v>
      </c>
      <c r="D66" s="79">
        <f>6000000+4000000+3000000+3000000</f>
        <v>16000000</v>
      </c>
      <c r="E66" s="80">
        <f t="shared" si="4"/>
        <v>66000000</v>
      </c>
      <c r="F66" s="2">
        <f t="shared" si="3"/>
        <v>0</v>
      </c>
    </row>
    <row r="67" spans="1:6" s="20" customFormat="1" ht="18" customHeight="1">
      <c r="A67" s="103" t="s">
        <v>107</v>
      </c>
      <c r="B67" s="77" t="s">
        <v>3</v>
      </c>
      <c r="C67" s="89">
        <v>0</v>
      </c>
      <c r="D67" s="97">
        <v>8023090</v>
      </c>
      <c r="E67" s="80">
        <f t="shared" si="4"/>
        <v>8023090</v>
      </c>
      <c r="F67" s="2">
        <f t="shared" si="3"/>
        <v>0</v>
      </c>
    </row>
    <row r="68" spans="1:6" s="20" customFormat="1" ht="18" customHeight="1">
      <c r="A68" s="103" t="s">
        <v>91</v>
      </c>
      <c r="B68" s="77" t="s">
        <v>3</v>
      </c>
      <c r="C68" s="89">
        <v>70000000</v>
      </c>
      <c r="D68" s="79">
        <f>3000000+4000000+4000000+4000000</f>
        <v>15000000</v>
      </c>
      <c r="E68" s="80">
        <f t="shared" si="4"/>
        <v>85000000</v>
      </c>
      <c r="F68" s="2">
        <f t="shared" si="3"/>
        <v>0</v>
      </c>
    </row>
    <row r="69" spans="1:6" s="20" customFormat="1" ht="18" customHeight="1">
      <c r="A69" s="103" t="s">
        <v>87</v>
      </c>
      <c r="B69" s="77" t="s">
        <v>3</v>
      </c>
      <c r="C69" s="89">
        <v>0</v>
      </c>
      <c r="D69" s="97">
        <v>11000000</v>
      </c>
      <c r="E69" s="80">
        <f t="shared" si="4"/>
        <v>11000000</v>
      </c>
      <c r="F69" s="2">
        <f t="shared" si="3"/>
        <v>0</v>
      </c>
    </row>
    <row r="70" spans="1:6" s="20" customFormat="1" ht="18" customHeight="1">
      <c r="A70" s="103" t="s">
        <v>88</v>
      </c>
      <c r="B70" s="77" t="s">
        <v>3</v>
      </c>
      <c r="C70" s="89">
        <v>0</v>
      </c>
      <c r="D70" s="97">
        <v>24000000</v>
      </c>
      <c r="E70" s="80">
        <f t="shared" si="4"/>
        <v>24000000</v>
      </c>
      <c r="F70" s="2">
        <f t="shared" si="3"/>
        <v>0</v>
      </c>
    </row>
    <row r="71" spans="1:6" s="20" customFormat="1" ht="18" customHeight="1">
      <c r="A71" s="103" t="s">
        <v>89</v>
      </c>
      <c r="B71" s="77" t="s">
        <v>3</v>
      </c>
      <c r="C71" s="89">
        <v>0</v>
      </c>
      <c r="D71" s="97">
        <v>5000000</v>
      </c>
      <c r="E71" s="80">
        <f t="shared" si="4"/>
        <v>5000000</v>
      </c>
      <c r="F71" s="2">
        <f t="shared" si="3"/>
        <v>0</v>
      </c>
    </row>
    <row r="72" spans="1:6" s="20" customFormat="1" ht="18" customHeight="1">
      <c r="A72" s="103" t="s">
        <v>90</v>
      </c>
      <c r="B72" s="77" t="s">
        <v>3</v>
      </c>
      <c r="C72" s="89">
        <v>7800000</v>
      </c>
      <c r="D72" s="97">
        <v>0</v>
      </c>
      <c r="E72" s="80">
        <f t="shared" si="4"/>
        <v>7800000</v>
      </c>
      <c r="F72" s="2">
        <f t="shared" si="3"/>
        <v>0</v>
      </c>
    </row>
    <row r="73" spans="1:6" s="20" customFormat="1" ht="18" customHeight="1">
      <c r="A73" s="103" t="s">
        <v>92</v>
      </c>
      <c r="B73" s="77" t="s">
        <v>3</v>
      </c>
      <c r="C73" s="89">
        <v>6000000</v>
      </c>
      <c r="D73" s="97">
        <v>0</v>
      </c>
      <c r="E73" s="80">
        <f t="shared" si="4"/>
        <v>6000000</v>
      </c>
      <c r="F73" s="2">
        <f t="shared" si="3"/>
        <v>0</v>
      </c>
    </row>
    <row r="74" spans="1:6" s="20" customFormat="1" ht="18" customHeight="1">
      <c r="A74" s="103" t="s">
        <v>108</v>
      </c>
      <c r="B74" s="77" t="s">
        <v>3</v>
      </c>
      <c r="C74" s="89">
        <v>0</v>
      </c>
      <c r="D74" s="97">
        <v>0</v>
      </c>
      <c r="E74" s="80">
        <f t="shared" si="4"/>
        <v>0</v>
      </c>
      <c r="F74" s="2">
        <f t="shared" si="3"/>
        <v>0</v>
      </c>
    </row>
    <row r="75" spans="1:6" s="20" customFormat="1" ht="18" customHeight="1">
      <c r="A75" s="103" t="s">
        <v>109</v>
      </c>
      <c r="B75" s="77" t="s">
        <v>3</v>
      </c>
      <c r="C75" s="89">
        <v>0</v>
      </c>
      <c r="D75" s="97">
        <v>0</v>
      </c>
      <c r="E75" s="80">
        <f t="shared" si="4"/>
        <v>0</v>
      </c>
      <c r="F75" s="2">
        <f t="shared" si="3"/>
        <v>0</v>
      </c>
    </row>
    <row r="76" spans="1:6" s="20" customFormat="1" ht="18" customHeight="1">
      <c r="A76" s="103" t="s">
        <v>110</v>
      </c>
      <c r="B76" s="77" t="s">
        <v>3</v>
      </c>
      <c r="C76" s="89">
        <v>0</v>
      </c>
      <c r="D76" s="97">
        <v>0</v>
      </c>
      <c r="E76" s="80">
        <f t="shared" si="4"/>
        <v>0</v>
      </c>
      <c r="F76" s="2">
        <f t="shared" si="3"/>
        <v>0</v>
      </c>
    </row>
    <row r="77" spans="1:6" s="20" customFormat="1" ht="18" customHeight="1">
      <c r="A77" s="103" t="s">
        <v>93</v>
      </c>
      <c r="B77" s="77" t="s">
        <v>3</v>
      </c>
      <c r="C77" s="89">
        <v>5664211</v>
      </c>
      <c r="D77" s="97">
        <v>0</v>
      </c>
      <c r="E77" s="80">
        <f t="shared" si="4"/>
        <v>5664211</v>
      </c>
      <c r="F77" s="2">
        <f aca="true" t="shared" si="5" ref="F77:F108">C77+D77-E77</f>
        <v>0</v>
      </c>
    </row>
    <row r="78" spans="1:6" s="20" customFormat="1" ht="18" customHeight="1">
      <c r="A78" s="103" t="s">
        <v>94</v>
      </c>
      <c r="B78" s="77" t="s">
        <v>3</v>
      </c>
      <c r="C78" s="89">
        <v>75350000</v>
      </c>
      <c r="D78" s="97">
        <v>0</v>
      </c>
      <c r="E78" s="80">
        <f t="shared" si="4"/>
        <v>75350000</v>
      </c>
      <c r="F78" s="2">
        <f t="shared" si="5"/>
        <v>0</v>
      </c>
    </row>
    <row r="79" spans="1:6" s="20" customFormat="1" ht="18" customHeight="1">
      <c r="A79" s="103" t="s">
        <v>32</v>
      </c>
      <c r="B79" s="77" t="s">
        <v>3</v>
      </c>
      <c r="C79" s="89">
        <f>19063427.42+7176659.19</f>
        <v>26240086.610000003</v>
      </c>
      <c r="D79" s="97">
        <v>0</v>
      </c>
      <c r="E79" s="80">
        <f t="shared" si="4"/>
        <v>26240086.610000003</v>
      </c>
      <c r="F79" s="2">
        <f t="shared" si="5"/>
        <v>0</v>
      </c>
    </row>
    <row r="80" spans="1:6" s="20" customFormat="1" ht="18" customHeight="1">
      <c r="A80" s="90"/>
      <c r="B80" s="82" t="s">
        <v>3</v>
      </c>
      <c r="C80" s="83">
        <f>SUM(C64:C79)</f>
        <v>305656442.74</v>
      </c>
      <c r="D80" s="83">
        <f>SUM(D64:D79)</f>
        <v>79023090</v>
      </c>
      <c r="E80" s="84">
        <f>SUM(E64:E79)</f>
        <v>384679532.74</v>
      </c>
      <c r="F80" s="2">
        <f t="shared" si="5"/>
        <v>0</v>
      </c>
    </row>
    <row r="81" spans="1:6" s="20" customFormat="1" ht="18" customHeight="1">
      <c r="A81" s="81" t="s">
        <v>57</v>
      </c>
      <c r="B81" s="98"/>
      <c r="C81" s="83"/>
      <c r="D81" s="83"/>
      <c r="E81" s="84"/>
      <c r="F81" s="2">
        <f t="shared" si="5"/>
        <v>0</v>
      </c>
    </row>
    <row r="82" spans="1:6" s="15" customFormat="1" ht="18" customHeight="1">
      <c r="A82" s="185" t="s">
        <v>55</v>
      </c>
      <c r="B82" s="186"/>
      <c r="C82" s="18">
        <f>C80*$B$182/$B$185</f>
        <v>383262678.6172105</v>
      </c>
      <c r="D82" s="18">
        <f>D80*$B$182/$B$185</f>
        <v>99087069.37275828</v>
      </c>
      <c r="E82" s="19">
        <f>E80*$B$182/$B$185</f>
        <v>482349747.9899688</v>
      </c>
      <c r="F82" s="2">
        <f t="shared" si="5"/>
        <v>0</v>
      </c>
    </row>
    <row r="83" spans="1:6" ht="18" customHeight="1">
      <c r="A83" s="101"/>
      <c r="B83" s="77"/>
      <c r="C83" s="93"/>
      <c r="D83" s="93"/>
      <c r="E83" s="94"/>
      <c r="F83" s="2">
        <f t="shared" si="5"/>
        <v>0</v>
      </c>
    </row>
    <row r="84" spans="1:6" ht="18" customHeight="1">
      <c r="A84" s="17" t="s">
        <v>33</v>
      </c>
      <c r="B84" s="77"/>
      <c r="C84" s="95"/>
      <c r="D84" s="96"/>
      <c r="E84" s="71"/>
      <c r="F84" s="2">
        <f t="shared" si="5"/>
        <v>0</v>
      </c>
    </row>
    <row r="85" spans="1:6" ht="18" customHeight="1">
      <c r="A85" s="88" t="s">
        <v>34</v>
      </c>
      <c r="B85" s="77" t="s">
        <v>3</v>
      </c>
      <c r="C85" s="89">
        <v>223796611.38</v>
      </c>
      <c r="D85" s="79">
        <v>1203388.62</v>
      </c>
      <c r="E85" s="80">
        <f>C85+D85</f>
        <v>225000000</v>
      </c>
      <c r="F85" s="2">
        <f t="shared" si="5"/>
        <v>0</v>
      </c>
    </row>
    <row r="86" spans="1:6" ht="18" customHeight="1">
      <c r="A86" s="88" t="s">
        <v>35</v>
      </c>
      <c r="B86" s="77" t="s">
        <v>3</v>
      </c>
      <c r="C86" s="89">
        <v>49500000</v>
      </c>
      <c r="D86" s="97">
        <v>5500000</v>
      </c>
      <c r="E86" s="80">
        <f>C86+D86</f>
        <v>55000000</v>
      </c>
      <c r="F86" s="2">
        <f t="shared" si="5"/>
        <v>0</v>
      </c>
    </row>
    <row r="87" spans="1:6" ht="18" customHeight="1">
      <c r="A87" s="88" t="s">
        <v>111</v>
      </c>
      <c r="B87" s="77" t="s">
        <v>3</v>
      </c>
      <c r="C87" s="89">
        <v>0</v>
      </c>
      <c r="D87" s="97">
        <v>0</v>
      </c>
      <c r="E87" s="80">
        <f>C87+D87</f>
        <v>0</v>
      </c>
      <c r="F87" s="2">
        <f t="shared" si="5"/>
        <v>0</v>
      </c>
    </row>
    <row r="88" spans="1:6" ht="18" customHeight="1">
      <c r="A88" s="90"/>
      <c r="B88" s="82" t="s">
        <v>3</v>
      </c>
      <c r="C88" s="83">
        <f>SUM(C85:C87)</f>
        <v>273296611.38</v>
      </c>
      <c r="D88" s="102">
        <f>SUM(D85:D87)</f>
        <v>6703388.62</v>
      </c>
      <c r="E88" s="84">
        <f>SUM(E85:E87)</f>
        <v>280000000</v>
      </c>
      <c r="F88" s="2">
        <f t="shared" si="5"/>
        <v>0</v>
      </c>
    </row>
    <row r="89" spans="1:6" ht="18" customHeight="1">
      <c r="A89" s="201" t="s">
        <v>58</v>
      </c>
      <c r="B89" s="202"/>
      <c r="C89" s="83"/>
      <c r="D89" s="102"/>
      <c r="E89" s="84"/>
      <c r="F89" s="2">
        <f t="shared" si="5"/>
        <v>0</v>
      </c>
    </row>
    <row r="90" spans="1:6" s="15" customFormat="1" ht="18" customHeight="1">
      <c r="A90" s="185" t="s">
        <v>55</v>
      </c>
      <c r="B90" s="186"/>
      <c r="C90" s="18">
        <f>C88*$B$182/$B$185</f>
        <v>342686679.1864229</v>
      </c>
      <c r="D90" s="18">
        <f>D88*$B$182/$B$185</f>
        <v>8405380.417577932</v>
      </c>
      <c r="E90" s="19">
        <f>E88*$B$182/$B$185</f>
        <v>351092059.6040008</v>
      </c>
      <c r="F90" s="2">
        <f t="shared" si="5"/>
        <v>0</v>
      </c>
    </row>
    <row r="91" spans="1:6" ht="18" customHeight="1">
      <c r="A91" s="101"/>
      <c r="B91" s="77"/>
      <c r="C91" s="93"/>
      <c r="D91" s="93"/>
      <c r="E91" s="94"/>
      <c r="F91" s="2">
        <f t="shared" si="5"/>
        <v>0</v>
      </c>
    </row>
    <row r="92" spans="1:6" ht="18" customHeight="1">
      <c r="A92" s="17" t="s">
        <v>36</v>
      </c>
      <c r="B92" s="77"/>
      <c r="C92" s="93"/>
      <c r="D92" s="104"/>
      <c r="E92" s="80"/>
      <c r="F92" s="2">
        <f t="shared" si="5"/>
        <v>0</v>
      </c>
    </row>
    <row r="93" spans="1:6" ht="18" customHeight="1">
      <c r="A93" s="105" t="s">
        <v>103</v>
      </c>
      <c r="B93" s="77" t="s">
        <v>3</v>
      </c>
      <c r="C93" s="89">
        <v>14384816.46</v>
      </c>
      <c r="D93" s="79">
        <v>2904254.24</v>
      </c>
      <c r="E93" s="80">
        <f>C93+D93</f>
        <v>17289070.700000003</v>
      </c>
      <c r="F93" s="2">
        <f t="shared" si="5"/>
        <v>0</v>
      </c>
    </row>
    <row r="94" spans="1:6" ht="45" customHeight="1">
      <c r="A94" s="106" t="s">
        <v>104</v>
      </c>
      <c r="B94" s="77" t="s">
        <v>3</v>
      </c>
      <c r="C94" s="89">
        <v>8640000</v>
      </c>
      <c r="D94" s="79">
        <v>0</v>
      </c>
      <c r="E94" s="80">
        <f>C94+D94</f>
        <v>8640000</v>
      </c>
      <c r="F94" s="2">
        <f t="shared" si="5"/>
        <v>0</v>
      </c>
    </row>
    <row r="95" spans="1:6" ht="18" customHeight="1">
      <c r="A95" s="101"/>
      <c r="B95" s="98" t="s">
        <v>3</v>
      </c>
      <c r="C95" s="107">
        <f>SUM(C93:C94)</f>
        <v>23024816.46</v>
      </c>
      <c r="D95" s="107">
        <f>SUM(D93:D94)</f>
        <v>2904254.24</v>
      </c>
      <c r="E95" s="108">
        <f>SUM(E93:E94)</f>
        <v>25929070.700000003</v>
      </c>
      <c r="F95" s="2">
        <f t="shared" si="5"/>
        <v>0</v>
      </c>
    </row>
    <row r="96" spans="1:6" s="15" customFormat="1" ht="18" customHeight="1">
      <c r="A96" s="185" t="s">
        <v>55</v>
      </c>
      <c r="B96" s="186"/>
      <c r="C96" s="18">
        <f>C95*$B$182/$B$185</f>
        <v>28870822.260519642</v>
      </c>
      <c r="D96" s="18">
        <f>D95*$B$182/$B$185</f>
        <v>3641645.009768758</v>
      </c>
      <c r="E96" s="19">
        <f>E95*$B$182/$B$185</f>
        <v>32512467.2702884</v>
      </c>
      <c r="F96" s="2">
        <f t="shared" si="5"/>
        <v>0</v>
      </c>
    </row>
    <row r="97" spans="1:6" s="21" customFormat="1" ht="18" customHeight="1">
      <c r="A97" s="11"/>
      <c r="B97" s="12"/>
      <c r="C97" s="93"/>
      <c r="D97" s="93"/>
      <c r="E97" s="94"/>
      <c r="F97" s="2">
        <f t="shared" si="5"/>
        <v>0</v>
      </c>
    </row>
    <row r="98" spans="1:6" ht="18" customHeight="1">
      <c r="A98" s="17" t="s">
        <v>37</v>
      </c>
      <c r="B98" s="77"/>
      <c r="C98" s="95"/>
      <c r="D98" s="96"/>
      <c r="E98" s="71"/>
      <c r="F98" s="2">
        <f t="shared" si="5"/>
        <v>0</v>
      </c>
    </row>
    <row r="99" spans="1:6" ht="18" customHeight="1">
      <c r="A99" s="88" t="s">
        <v>95</v>
      </c>
      <c r="B99" s="77" t="s">
        <v>3</v>
      </c>
      <c r="C99" s="89">
        <v>59501160.96</v>
      </c>
      <c r="D99" s="97">
        <v>0</v>
      </c>
      <c r="E99" s="80">
        <f aca="true" t="shared" si="6" ref="E99:E106">C99+D99</f>
        <v>59501160.96</v>
      </c>
      <c r="F99" s="2">
        <f t="shared" si="5"/>
        <v>0</v>
      </c>
    </row>
    <row r="100" spans="1:6" ht="18" customHeight="1">
      <c r="A100" s="88" t="s">
        <v>96</v>
      </c>
      <c r="B100" s="77" t="s">
        <v>3</v>
      </c>
      <c r="C100" s="78">
        <f>4581361.32-233702.66</f>
        <v>4347658.66</v>
      </c>
      <c r="D100" s="97">
        <v>0</v>
      </c>
      <c r="E100" s="80">
        <f t="shared" si="6"/>
        <v>4347658.66</v>
      </c>
      <c r="F100" s="2">
        <f t="shared" si="5"/>
        <v>0</v>
      </c>
    </row>
    <row r="101" spans="1:6" ht="18" customHeight="1">
      <c r="A101" s="88" t="s">
        <v>97</v>
      </c>
      <c r="B101" s="77" t="s">
        <v>3</v>
      </c>
      <c r="C101" s="78">
        <v>3292581.31</v>
      </c>
      <c r="D101" s="97">
        <v>0</v>
      </c>
      <c r="E101" s="80">
        <f t="shared" si="6"/>
        <v>3292581.31</v>
      </c>
      <c r="F101" s="2">
        <f t="shared" si="5"/>
        <v>0</v>
      </c>
    </row>
    <row r="102" spans="1:6" ht="18" customHeight="1">
      <c r="A102" s="88" t="s">
        <v>98</v>
      </c>
      <c r="B102" s="77" t="s">
        <v>3</v>
      </c>
      <c r="C102" s="78">
        <v>1287200.07</v>
      </c>
      <c r="D102" s="97">
        <v>0</v>
      </c>
      <c r="E102" s="80">
        <f t="shared" si="6"/>
        <v>1287200.07</v>
      </c>
      <c r="F102" s="2">
        <f t="shared" si="5"/>
        <v>0</v>
      </c>
    </row>
    <row r="103" spans="1:6" ht="18" customHeight="1">
      <c r="A103" s="88" t="s">
        <v>99</v>
      </c>
      <c r="B103" s="77" t="s">
        <v>3</v>
      </c>
      <c r="C103" s="78">
        <v>24270124.07</v>
      </c>
      <c r="D103" s="97">
        <v>0</v>
      </c>
      <c r="E103" s="80">
        <f t="shared" si="6"/>
        <v>24270124.07</v>
      </c>
      <c r="F103" s="2">
        <f t="shared" si="5"/>
        <v>0</v>
      </c>
    </row>
    <row r="104" spans="1:6" ht="18" customHeight="1">
      <c r="A104" s="88" t="s">
        <v>100</v>
      </c>
      <c r="B104" s="77" t="s">
        <v>3</v>
      </c>
      <c r="C104" s="78">
        <v>44117350.39</v>
      </c>
      <c r="D104" s="97">
        <v>0</v>
      </c>
      <c r="E104" s="80">
        <f t="shared" si="6"/>
        <v>44117350.39</v>
      </c>
      <c r="F104" s="2">
        <f t="shared" si="5"/>
        <v>0</v>
      </c>
    </row>
    <row r="105" spans="1:6" ht="18" customHeight="1">
      <c r="A105" s="88" t="s">
        <v>101</v>
      </c>
      <c r="B105" s="77" t="s">
        <v>3</v>
      </c>
      <c r="C105" s="78">
        <v>1194082</v>
      </c>
      <c r="D105" s="97">
        <v>0</v>
      </c>
      <c r="E105" s="80">
        <f t="shared" si="6"/>
        <v>1194082</v>
      </c>
      <c r="F105" s="2">
        <f t="shared" si="5"/>
        <v>0</v>
      </c>
    </row>
    <row r="106" spans="1:6" ht="18" customHeight="1">
      <c r="A106" s="88" t="s">
        <v>102</v>
      </c>
      <c r="B106" s="77" t="s">
        <v>3</v>
      </c>
      <c r="C106" s="78">
        <v>14480313.51</v>
      </c>
      <c r="D106" s="97">
        <v>0</v>
      </c>
      <c r="E106" s="80">
        <f t="shared" si="6"/>
        <v>14480313.51</v>
      </c>
      <c r="F106" s="2">
        <f t="shared" si="5"/>
        <v>0</v>
      </c>
    </row>
    <row r="107" spans="1:6" ht="18" customHeight="1">
      <c r="A107" s="101"/>
      <c r="B107" s="82" t="s">
        <v>3</v>
      </c>
      <c r="C107" s="83">
        <f>SUM(C99:C106)</f>
        <v>152490470.96999997</v>
      </c>
      <c r="D107" s="78">
        <f>SUM(D99:D106)</f>
        <v>0</v>
      </c>
      <c r="E107" s="84">
        <f>SUM(E99:E106)</f>
        <v>152490470.96999997</v>
      </c>
      <c r="F107" s="2">
        <f t="shared" si="5"/>
        <v>0</v>
      </c>
    </row>
    <row r="108" spans="1:6" s="15" customFormat="1" ht="18" customHeight="1">
      <c r="A108" s="185" t="s">
        <v>55</v>
      </c>
      <c r="B108" s="186"/>
      <c r="C108" s="18">
        <f>C107*$B$182/$B$185</f>
        <v>191207834.0101478</v>
      </c>
      <c r="D108" s="109">
        <f>D107*$B$182/$B$185</f>
        <v>0</v>
      </c>
      <c r="E108" s="19">
        <f>E107*$B$182/$B$185</f>
        <v>191207834.0101478</v>
      </c>
      <c r="F108" s="2">
        <f t="shared" si="5"/>
        <v>0</v>
      </c>
    </row>
    <row r="109" spans="1:6" s="21" customFormat="1" ht="18" customHeight="1">
      <c r="A109" s="110"/>
      <c r="B109" s="12"/>
      <c r="C109" s="18"/>
      <c r="D109" s="18"/>
      <c r="E109" s="19"/>
      <c r="F109" s="2">
        <f aca="true" t="shared" si="7" ref="F109:F114">C109+D109-E109</f>
        <v>0</v>
      </c>
    </row>
    <row r="110" spans="1:6" ht="18" customHeight="1">
      <c r="A110" s="17" t="s">
        <v>38</v>
      </c>
      <c r="B110" s="82" t="s">
        <v>39</v>
      </c>
      <c r="C110" s="107">
        <v>204102290.59</v>
      </c>
      <c r="D110" s="111">
        <v>19091322.41</v>
      </c>
      <c r="E110" s="84">
        <f>C110+D110</f>
        <v>223193613</v>
      </c>
      <c r="F110" s="2">
        <f t="shared" si="7"/>
        <v>0</v>
      </c>
    </row>
    <row r="111" spans="1:6" s="15" customFormat="1" ht="18" customHeight="1">
      <c r="A111" s="185" t="s">
        <v>55</v>
      </c>
      <c r="B111" s="186"/>
      <c r="C111" s="18">
        <f>C110*$B$187/$B$185</f>
        <v>163655005.23670396</v>
      </c>
      <c r="D111" s="18">
        <f>D110*$B$187/$B$185</f>
        <v>15307963.766366636</v>
      </c>
      <c r="E111" s="19">
        <f>E110*$B$187/$B$185</f>
        <v>178962969.0030706</v>
      </c>
      <c r="F111" s="2">
        <f t="shared" si="7"/>
        <v>0</v>
      </c>
    </row>
    <row r="112" spans="1:6" s="21" customFormat="1" ht="18" customHeight="1" thickBot="1">
      <c r="A112" s="110"/>
      <c r="B112" s="12"/>
      <c r="C112" s="18"/>
      <c r="D112" s="18"/>
      <c r="E112" s="19"/>
      <c r="F112" s="2">
        <f t="shared" si="7"/>
        <v>0</v>
      </c>
    </row>
    <row r="113" spans="1:6" s="10" customFormat="1" ht="18" customHeight="1" thickBot="1">
      <c r="A113" s="112" t="s">
        <v>59</v>
      </c>
      <c r="B113" s="113"/>
      <c r="C113" s="27">
        <f>C111+C108+C96+C90+C82+C59+C27+C17</f>
        <v>4817849517.282707</v>
      </c>
      <c r="D113" s="27">
        <f>D111+D108+D96+D90+D82+D59+D27+D17</f>
        <v>496325682.4398123</v>
      </c>
      <c r="E113" s="28">
        <f>E111+E108+E96+E90+E82+E59+E27+E17</f>
        <v>5314175199.722519</v>
      </c>
      <c r="F113" s="2">
        <f t="shared" si="7"/>
        <v>0</v>
      </c>
    </row>
    <row r="114" spans="1:6" ht="18" customHeight="1" thickBot="1">
      <c r="A114" s="199"/>
      <c r="B114" s="200"/>
      <c r="C114" s="114"/>
      <c r="D114" s="65"/>
      <c r="E114" s="66"/>
      <c r="F114" s="2">
        <f t="shared" si="7"/>
        <v>0</v>
      </c>
    </row>
    <row r="115" spans="1:6" s="26" customFormat="1" ht="18" customHeight="1" thickBot="1">
      <c r="A115" s="158" t="s">
        <v>60</v>
      </c>
      <c r="B115" s="161"/>
      <c r="C115" s="22"/>
      <c r="D115" s="23"/>
      <c r="E115" s="24"/>
      <c r="F115" s="25"/>
    </row>
    <row r="116" spans="1:6" ht="18" customHeight="1">
      <c r="A116" s="183" t="s">
        <v>61</v>
      </c>
      <c r="B116" s="73" t="s">
        <v>3</v>
      </c>
      <c r="C116" s="78">
        <v>931135938.09</v>
      </c>
      <c r="D116" s="97">
        <v>90620668.92</v>
      </c>
      <c r="E116" s="80">
        <f aca="true" t="shared" si="8" ref="E116:E123">C116+D116</f>
        <v>1021756607.01</v>
      </c>
      <c r="F116" s="2">
        <f aca="true" t="shared" si="9" ref="F116:F124">C116+D116-E116</f>
        <v>0</v>
      </c>
    </row>
    <row r="117" spans="1:6" ht="18" customHeight="1">
      <c r="A117" s="183"/>
      <c r="B117" s="86" t="s">
        <v>40</v>
      </c>
      <c r="C117" s="78">
        <v>69958358.47</v>
      </c>
      <c r="D117" s="97">
        <v>420382.02</v>
      </c>
      <c r="E117" s="80">
        <f t="shared" si="8"/>
        <v>70378740.49</v>
      </c>
      <c r="F117" s="2">
        <f t="shared" si="9"/>
        <v>0</v>
      </c>
    </row>
    <row r="118" spans="1:6" ht="18" customHeight="1">
      <c r="A118" s="183"/>
      <c r="B118" s="86" t="s">
        <v>41</v>
      </c>
      <c r="C118" s="78">
        <v>70854394.75</v>
      </c>
      <c r="D118" s="97">
        <v>48967.1</v>
      </c>
      <c r="E118" s="80">
        <f t="shared" si="8"/>
        <v>70903361.85</v>
      </c>
      <c r="F118" s="2">
        <f t="shared" si="9"/>
        <v>0</v>
      </c>
    </row>
    <row r="119" spans="1:6" ht="18" customHeight="1">
      <c r="A119" s="183"/>
      <c r="B119" s="86" t="s">
        <v>30</v>
      </c>
      <c r="C119" s="78">
        <v>627454040.61</v>
      </c>
      <c r="D119" s="97">
        <v>37027701.65</v>
      </c>
      <c r="E119" s="80">
        <f t="shared" si="8"/>
        <v>664481742.26</v>
      </c>
      <c r="F119" s="2">
        <f t="shared" si="9"/>
        <v>0</v>
      </c>
    </row>
    <row r="120" spans="1:6" ht="18" customHeight="1">
      <c r="A120" s="183"/>
      <c r="B120" s="86" t="s">
        <v>42</v>
      </c>
      <c r="C120" s="78">
        <v>6177387.73</v>
      </c>
      <c r="D120" s="97">
        <v>429733.25</v>
      </c>
      <c r="E120" s="80">
        <f t="shared" si="8"/>
        <v>6607120.98</v>
      </c>
      <c r="F120" s="2">
        <f t="shared" si="9"/>
        <v>0</v>
      </c>
    </row>
    <row r="121" spans="1:6" ht="18" customHeight="1">
      <c r="A121" s="183"/>
      <c r="B121" s="86" t="s">
        <v>39</v>
      </c>
      <c r="C121" s="78">
        <v>131069011.51</v>
      </c>
      <c r="D121" s="97">
        <v>2303065.91</v>
      </c>
      <c r="E121" s="80">
        <f t="shared" si="8"/>
        <v>133372077.42</v>
      </c>
      <c r="F121" s="2">
        <f t="shared" si="9"/>
        <v>0</v>
      </c>
    </row>
    <row r="122" spans="1:6" ht="18" customHeight="1">
      <c r="A122" s="183"/>
      <c r="B122" s="86" t="s">
        <v>43</v>
      </c>
      <c r="C122" s="78">
        <v>10972155787</v>
      </c>
      <c r="D122" s="97">
        <v>168512839</v>
      </c>
      <c r="E122" s="80">
        <f t="shared" si="8"/>
        <v>11140668626</v>
      </c>
      <c r="F122" s="2">
        <f t="shared" si="9"/>
        <v>0</v>
      </c>
    </row>
    <row r="123" spans="1:6" ht="18" customHeight="1">
      <c r="A123" s="184"/>
      <c r="B123" s="86" t="s">
        <v>44</v>
      </c>
      <c r="C123" s="78">
        <v>43225290.71</v>
      </c>
      <c r="D123" s="97">
        <v>2239640.92</v>
      </c>
      <c r="E123" s="80">
        <f t="shared" si="8"/>
        <v>45464931.63</v>
      </c>
      <c r="F123" s="2">
        <f t="shared" si="9"/>
        <v>0</v>
      </c>
    </row>
    <row r="124" spans="1:6" ht="18" customHeight="1" thickBot="1">
      <c r="A124" s="115"/>
      <c r="B124" s="116"/>
      <c r="C124" s="117"/>
      <c r="D124" s="117"/>
      <c r="E124" s="118"/>
      <c r="F124" s="2">
        <f t="shared" si="9"/>
        <v>0</v>
      </c>
    </row>
    <row r="125" spans="1:6" s="10" customFormat="1" ht="19.5" customHeight="1" thickBot="1">
      <c r="A125" s="112" t="s">
        <v>62</v>
      </c>
      <c r="B125" s="113"/>
      <c r="C125" s="27">
        <f>C116*$B$182/$B$185+C117*$B$183/$B$185+C118*$B$184/$B$185+C119+C120*$B$186/$B$185+C121*$B$187/$B$185+C123*$B$188/$B$185+C122*$B$189/$B$185</f>
        <v>2034478751.8983917</v>
      </c>
      <c r="D125" s="27">
        <f>D116*$B$182/$B$185+D117*$B$183/$B$185+D118*$B$184/$B$185+D119+D120*$B$186/$B$185+D121*$B$187/$B$185+D123*$B$188/$B$185+D122*$B$189/$B$185</f>
        <v>155110480.38886788</v>
      </c>
      <c r="E125" s="28">
        <f>E116*$B$182/$B$185+E117*$B$183/$B$185+E118*$B$184/$B$185+E119+E120*$B$186/$B$185+E121*$B$187/$B$185+E123*$B$188/$B$185+E122*$B$189/$B$185</f>
        <v>2189589232.2872596</v>
      </c>
      <c r="F125" s="2"/>
    </row>
    <row r="126" spans="1:6" s="10" customFormat="1" ht="19.5" customHeight="1">
      <c r="A126" s="182"/>
      <c r="B126" s="177"/>
      <c r="C126" s="178"/>
      <c r="D126" s="179"/>
      <c r="E126" s="214">
        <v>15</v>
      </c>
      <c r="F126" s="2"/>
    </row>
    <row r="127" spans="1:5" ht="15.75" thickBot="1">
      <c r="A127" s="90"/>
      <c r="B127" s="176"/>
      <c r="C127" s="119"/>
      <c r="D127" s="120"/>
      <c r="E127" s="121"/>
    </row>
    <row r="128" spans="1:6" s="10" customFormat="1" ht="17.25" customHeight="1" thickBot="1">
      <c r="A128" s="158" t="s">
        <v>63</v>
      </c>
      <c r="B128" s="161"/>
      <c r="C128" s="96"/>
      <c r="D128" s="95"/>
      <c r="E128" s="163"/>
      <c r="F128" s="2">
        <f aca="true" t="shared" si="10" ref="F128:F133">C128+D128-E128</f>
        <v>0</v>
      </c>
    </row>
    <row r="129" spans="1:6" ht="19.5" customHeight="1">
      <c r="A129" s="122"/>
      <c r="B129" s="123"/>
      <c r="C129" s="93"/>
      <c r="D129" s="93"/>
      <c r="E129" s="94"/>
      <c r="F129" s="2">
        <f t="shared" si="10"/>
        <v>0</v>
      </c>
    </row>
    <row r="130" spans="1:6" ht="19.5" customHeight="1">
      <c r="A130" s="124" t="s">
        <v>64</v>
      </c>
      <c r="B130" s="77" t="s">
        <v>30</v>
      </c>
      <c r="C130" s="89">
        <v>1075617755.39</v>
      </c>
      <c r="D130" s="97">
        <v>0</v>
      </c>
      <c r="E130" s="80">
        <f>C130+D130</f>
        <v>1075617755.39</v>
      </c>
      <c r="F130" s="2">
        <f t="shared" si="10"/>
        <v>0</v>
      </c>
    </row>
    <row r="131" spans="1:6" ht="19.5" customHeight="1">
      <c r="A131" s="124" t="s">
        <v>112</v>
      </c>
      <c r="B131" s="77" t="s">
        <v>30</v>
      </c>
      <c r="C131" s="89">
        <f>67344479.32+2494923.5</f>
        <v>69839402.82</v>
      </c>
      <c r="D131" s="97">
        <v>21819799.04</v>
      </c>
      <c r="E131" s="80">
        <f>C131+D131</f>
        <v>91659201.85999998</v>
      </c>
      <c r="F131" s="2">
        <f t="shared" si="10"/>
        <v>0</v>
      </c>
    </row>
    <row r="132" spans="1:6" ht="19.5" customHeight="1" thickBot="1">
      <c r="A132" s="125" t="s">
        <v>122</v>
      </c>
      <c r="B132" s="126"/>
      <c r="C132" s="95"/>
      <c r="D132" s="96"/>
      <c r="E132" s="71"/>
      <c r="F132" s="2">
        <f t="shared" si="10"/>
        <v>0</v>
      </c>
    </row>
    <row r="133" spans="1:6" s="10" customFormat="1" ht="19.5" customHeight="1" thickBot="1">
      <c r="A133" s="112" t="s">
        <v>65</v>
      </c>
      <c r="B133" s="113"/>
      <c r="C133" s="27">
        <f>SUM(C130:C132)</f>
        <v>1145457158.21</v>
      </c>
      <c r="D133" s="27">
        <f>SUM(D130:D132)</f>
        <v>21819799.04</v>
      </c>
      <c r="E133" s="28">
        <f>SUM(E130:E132)</f>
        <v>1167276957.25</v>
      </c>
      <c r="F133" s="2">
        <f t="shared" si="10"/>
        <v>0</v>
      </c>
    </row>
    <row r="134" spans="1:5" ht="19.5" customHeight="1" thickBot="1">
      <c r="A134" s="90"/>
      <c r="B134" s="162"/>
      <c r="C134" s="127"/>
      <c r="D134" s="120"/>
      <c r="E134" s="121"/>
    </row>
    <row r="135" spans="1:5" ht="19.5" customHeight="1" thickBot="1">
      <c r="A135" s="159" t="s">
        <v>66</v>
      </c>
      <c r="B135" s="161"/>
      <c r="C135" s="164"/>
      <c r="D135" s="165"/>
      <c r="E135" s="166"/>
    </row>
    <row r="136" spans="1:6" ht="32.25" customHeight="1">
      <c r="A136" s="128" t="s">
        <v>118</v>
      </c>
      <c r="B136" s="73" t="s">
        <v>3</v>
      </c>
      <c r="C136" s="78">
        <f>13797440*94.12/100</f>
        <v>12986150.527999999</v>
      </c>
      <c r="D136" s="78">
        <f>13797440*5.88/100</f>
        <v>811289.4720000001</v>
      </c>
      <c r="E136" s="80">
        <f>C136+D136</f>
        <v>13797440</v>
      </c>
      <c r="F136" s="2">
        <f>C136+D136-E136</f>
        <v>0</v>
      </c>
    </row>
    <row r="137" spans="1:5" ht="35.25" customHeight="1" thickBot="1">
      <c r="A137" s="203" t="s">
        <v>123</v>
      </c>
      <c r="B137" s="180"/>
      <c r="C137" s="180"/>
      <c r="D137" s="180"/>
      <c r="E137" s="181"/>
    </row>
    <row r="138" spans="1:6" s="10" customFormat="1" ht="19.5" customHeight="1" thickBot="1">
      <c r="A138" s="112" t="s">
        <v>105</v>
      </c>
      <c r="B138" s="113"/>
      <c r="C138" s="27">
        <f>(C136)*$B$182/$B$185</f>
        <v>16283336.911439653</v>
      </c>
      <c r="D138" s="27">
        <f>(D136)*$B$182/$B$185</f>
        <v>1017276.0416411514</v>
      </c>
      <c r="E138" s="28">
        <f>(E136)*$B$182/$B$185</f>
        <v>17300612.953080803</v>
      </c>
      <c r="F138" s="2">
        <f>C138+D138-E138</f>
        <v>0</v>
      </c>
    </row>
    <row r="139" spans="1:5" ht="19.5" customHeight="1" thickBot="1">
      <c r="A139" s="129"/>
      <c r="B139" s="130"/>
      <c r="C139" s="172"/>
      <c r="D139" s="172"/>
      <c r="E139" s="173"/>
    </row>
    <row r="140" spans="1:6" s="10" customFormat="1" ht="19.5" customHeight="1" thickBot="1">
      <c r="A140" s="158" t="s">
        <v>117</v>
      </c>
      <c r="B140" s="161"/>
      <c r="C140" s="131"/>
      <c r="D140" s="96"/>
      <c r="E140" s="71"/>
      <c r="F140" s="2">
        <f aca="true" t="shared" si="11" ref="F140:F154">C140+D140-E140</f>
        <v>0</v>
      </c>
    </row>
    <row r="141" spans="1:6" s="21" customFormat="1" ht="19.5" customHeight="1">
      <c r="A141" s="110"/>
      <c r="B141" s="167"/>
      <c r="C141" s="133"/>
      <c r="D141" s="134"/>
      <c r="E141" s="135"/>
      <c r="F141" s="2">
        <f t="shared" si="11"/>
        <v>0</v>
      </c>
    </row>
    <row r="142" spans="1:6" s="29" customFormat="1" ht="19.5" customHeight="1">
      <c r="A142" s="136" t="s">
        <v>119</v>
      </c>
      <c r="B142" s="116" t="s">
        <v>30</v>
      </c>
      <c r="C142" s="138">
        <f>45746607.85-D142</f>
        <v>43056707.30842</v>
      </c>
      <c r="D142" s="139">
        <f>45746607.85*5.88/100</f>
        <v>2689900.54158</v>
      </c>
      <c r="E142" s="140">
        <f>SUM(C142:D142)</f>
        <v>45746607.85</v>
      </c>
      <c r="F142" s="2">
        <f t="shared" si="11"/>
        <v>0</v>
      </c>
    </row>
    <row r="143" spans="1:6" s="29" customFormat="1" ht="19.5" customHeight="1">
      <c r="A143" s="136" t="s">
        <v>120</v>
      </c>
      <c r="B143" s="116" t="s">
        <v>30</v>
      </c>
      <c r="C143" s="138">
        <f>378151314.9-D143</f>
        <v>355916017.58387995</v>
      </c>
      <c r="D143" s="139">
        <f>378151314.9*5.88/100</f>
        <v>22235297.31612</v>
      </c>
      <c r="E143" s="140">
        <f>SUM(C143:D143)</f>
        <v>378151314.9</v>
      </c>
      <c r="F143" s="2">
        <f t="shared" si="11"/>
        <v>0</v>
      </c>
    </row>
    <row r="144" spans="1:6" s="29" customFormat="1" ht="19.5" customHeight="1">
      <c r="A144" s="136" t="s">
        <v>67</v>
      </c>
      <c r="B144" s="116" t="s">
        <v>30</v>
      </c>
      <c r="C144" s="141">
        <f>136583929.62</f>
        <v>136583929.62</v>
      </c>
      <c r="D144" s="142">
        <v>0</v>
      </c>
      <c r="E144" s="140">
        <f>SUM(C144:D144)</f>
        <v>136583929.62</v>
      </c>
      <c r="F144" s="2">
        <f t="shared" si="11"/>
        <v>0</v>
      </c>
    </row>
    <row r="145" spans="1:6" s="29" customFormat="1" ht="19.5" customHeight="1">
      <c r="A145" s="136" t="s">
        <v>68</v>
      </c>
      <c r="B145" s="77" t="s">
        <v>30</v>
      </c>
      <c r="C145" s="141">
        <v>49761823.74</v>
      </c>
      <c r="D145" s="142">
        <v>0</v>
      </c>
      <c r="E145" s="140">
        <f>SUM(C145:D145)</f>
        <v>49761823.74</v>
      </c>
      <c r="F145" s="2">
        <f t="shared" si="11"/>
        <v>0</v>
      </c>
    </row>
    <row r="146" spans="1:6" s="21" customFormat="1" ht="19.5" customHeight="1" thickBot="1">
      <c r="A146" s="143" t="s">
        <v>121</v>
      </c>
      <c r="B146" s="132"/>
      <c r="C146" s="133"/>
      <c r="D146" s="134"/>
      <c r="E146" s="135"/>
      <c r="F146" s="2">
        <f t="shared" si="11"/>
        <v>0</v>
      </c>
    </row>
    <row r="147" spans="1:6" s="10" customFormat="1" ht="19.5" customHeight="1" thickBot="1">
      <c r="A147" s="112" t="s">
        <v>69</v>
      </c>
      <c r="B147" s="113"/>
      <c r="C147" s="27">
        <f>SUM(C142:C145)</f>
        <v>585318478.2522999</v>
      </c>
      <c r="D147" s="27">
        <f>SUM(D142:D145)</f>
        <v>24925197.857699998</v>
      </c>
      <c r="E147" s="28">
        <f>SUM(E142:E145)</f>
        <v>610243676.11</v>
      </c>
      <c r="F147" s="2">
        <f t="shared" si="11"/>
        <v>0</v>
      </c>
    </row>
    <row r="148" spans="1:6" s="21" customFormat="1" ht="19.5" customHeight="1" thickBot="1">
      <c r="A148" s="110"/>
      <c r="B148" s="132"/>
      <c r="C148" s="133"/>
      <c r="D148" s="134"/>
      <c r="E148" s="135"/>
      <c r="F148" s="2">
        <f t="shared" si="11"/>
        <v>0</v>
      </c>
    </row>
    <row r="149" spans="1:6" s="10" customFormat="1" ht="19.5" customHeight="1" thickBot="1">
      <c r="A149" s="158" t="s">
        <v>70</v>
      </c>
      <c r="B149" s="161"/>
      <c r="C149" s="131"/>
      <c r="D149" s="96"/>
      <c r="E149" s="71"/>
      <c r="F149" s="2">
        <f t="shared" si="11"/>
        <v>0</v>
      </c>
    </row>
    <row r="150" spans="1:6" s="21" customFormat="1" ht="19.5" customHeight="1">
      <c r="A150" s="110"/>
      <c r="B150" s="167"/>
      <c r="C150" s="133"/>
      <c r="D150" s="134"/>
      <c r="E150" s="135"/>
      <c r="F150" s="2">
        <f t="shared" si="11"/>
        <v>0</v>
      </c>
    </row>
    <row r="151" spans="1:6" s="29" customFormat="1" ht="19.5" customHeight="1">
      <c r="A151" s="136" t="s">
        <v>113</v>
      </c>
      <c r="B151" s="77" t="s">
        <v>30</v>
      </c>
      <c r="C151" s="138">
        <v>30747952.35</v>
      </c>
      <c r="D151" s="139">
        <v>1920930.3</v>
      </c>
      <c r="E151" s="140">
        <f>SUM(C151:D151)</f>
        <v>32668882.650000002</v>
      </c>
      <c r="F151" s="2">
        <f t="shared" si="11"/>
        <v>0</v>
      </c>
    </row>
    <row r="152" spans="1:6" s="29" customFormat="1" ht="19.5" customHeight="1">
      <c r="A152" s="144" t="s">
        <v>71</v>
      </c>
      <c r="B152" s="137"/>
      <c r="C152" s="138"/>
      <c r="D152" s="139"/>
      <c r="E152" s="140"/>
      <c r="F152" s="2">
        <f t="shared" si="11"/>
        <v>0</v>
      </c>
    </row>
    <row r="153" spans="1:6" s="21" customFormat="1" ht="19.5" customHeight="1" thickBot="1">
      <c r="A153" s="143"/>
      <c r="B153" s="132"/>
      <c r="C153" s="133"/>
      <c r="D153" s="134"/>
      <c r="E153" s="135"/>
      <c r="F153" s="2">
        <f t="shared" si="11"/>
        <v>0</v>
      </c>
    </row>
    <row r="154" spans="1:6" s="10" customFormat="1" ht="19.5" customHeight="1" thickBot="1">
      <c r="A154" s="112" t="s">
        <v>72</v>
      </c>
      <c r="B154" s="113"/>
      <c r="C154" s="27">
        <f>+C151</f>
        <v>30747952.35</v>
      </c>
      <c r="D154" s="27">
        <f>+D151</f>
        <v>1920930.3</v>
      </c>
      <c r="E154" s="28">
        <f>+E151</f>
        <v>32668882.650000002</v>
      </c>
      <c r="F154" s="2">
        <f t="shared" si="11"/>
        <v>0</v>
      </c>
    </row>
    <row r="155" spans="1:6" s="30" customFormat="1" ht="19.5" customHeight="1">
      <c r="A155" s="145"/>
      <c r="B155" s="146"/>
      <c r="C155" s="147"/>
      <c r="D155" s="147"/>
      <c r="E155" s="148"/>
      <c r="F155" s="1"/>
    </row>
    <row r="156" spans="1:6" s="21" customFormat="1" ht="15" customHeight="1" thickBot="1">
      <c r="A156" s="149"/>
      <c r="B156" s="150"/>
      <c r="C156" s="151"/>
      <c r="D156" s="151"/>
      <c r="E156" s="152"/>
      <c r="F156" s="2">
        <f>C156+D156-E156</f>
        <v>0</v>
      </c>
    </row>
    <row r="157" spans="1:6" s="33" customFormat="1" ht="29.25" customHeight="1" thickBot="1" thickTop="1">
      <c r="A157" s="207" t="s">
        <v>73</v>
      </c>
      <c r="B157" s="208"/>
      <c r="C157" s="31">
        <f>C154+C147+C133+C125+C113+C138</f>
        <v>8630135194.904839</v>
      </c>
      <c r="D157" s="31">
        <f>D154+D147+D133+D125+D113+D138</f>
        <v>701119366.0680213</v>
      </c>
      <c r="E157" s="32">
        <f>E154+E147+E133+E125+E113+E138</f>
        <v>9331254560.97286</v>
      </c>
      <c r="F157" s="2">
        <f>C157+D157-E157</f>
        <v>0</v>
      </c>
    </row>
    <row r="158" spans="1:6" s="38" customFormat="1" ht="15" customHeight="1" thickTop="1">
      <c r="A158" s="34"/>
      <c r="B158" s="35"/>
      <c r="C158" s="36"/>
      <c r="D158" s="36"/>
      <c r="E158" s="37"/>
      <c r="F158" s="1"/>
    </row>
    <row r="159" spans="1:6" s="38" customFormat="1" ht="15" customHeight="1">
      <c r="A159" s="34"/>
      <c r="B159" s="35"/>
      <c r="C159" s="39"/>
      <c r="D159" s="39"/>
      <c r="E159" s="37"/>
      <c r="F159" s="1"/>
    </row>
    <row r="160" spans="1:6" s="38" customFormat="1" ht="15" customHeight="1">
      <c r="A160" s="40"/>
      <c r="B160" s="35"/>
      <c r="C160" s="39"/>
      <c r="D160" s="39"/>
      <c r="E160" s="37"/>
      <c r="F160" s="1"/>
    </row>
    <row r="161" spans="1:6" s="38" customFormat="1" ht="15" customHeight="1">
      <c r="A161" s="160" t="s">
        <v>74</v>
      </c>
      <c r="B161" s="168"/>
      <c r="C161" s="169"/>
      <c r="D161" s="169"/>
      <c r="E161" s="170"/>
      <c r="F161" s="1"/>
    </row>
    <row r="162" spans="1:6" s="38" customFormat="1" ht="14.25" customHeight="1">
      <c r="A162" s="34"/>
      <c r="B162" s="171"/>
      <c r="C162" s="41"/>
      <c r="D162" s="169"/>
      <c r="E162" s="174"/>
      <c r="F162" s="1"/>
    </row>
    <row r="163" spans="1:6" ht="15">
      <c r="A163" s="194" t="s">
        <v>75</v>
      </c>
      <c r="B163" s="86" t="s">
        <v>3</v>
      </c>
      <c r="C163" s="78">
        <v>107453361.99</v>
      </c>
      <c r="D163" s="97">
        <v>8725992.03</v>
      </c>
      <c r="E163" s="80">
        <f aca="true" t="shared" si="12" ref="E163:E170">C163+D163</f>
        <v>116179354.02</v>
      </c>
      <c r="F163" s="2">
        <f aca="true" t="shared" si="13" ref="F163:F170">C163+D163-E163</f>
        <v>0</v>
      </c>
    </row>
    <row r="164" spans="1:6" ht="12.75" customHeight="1">
      <c r="A164" s="195"/>
      <c r="B164" s="86" t="s">
        <v>40</v>
      </c>
      <c r="C164" s="78">
        <v>9904715.18</v>
      </c>
      <c r="D164" s="97">
        <v>60837.88</v>
      </c>
      <c r="E164" s="80">
        <f t="shared" si="12"/>
        <v>9965553.06</v>
      </c>
      <c r="F164" s="2">
        <f t="shared" si="13"/>
        <v>0</v>
      </c>
    </row>
    <row r="165" spans="1:6" ht="15">
      <c r="A165" s="195"/>
      <c r="B165" s="86" t="s">
        <v>41</v>
      </c>
      <c r="C165" s="78">
        <v>7033674.56</v>
      </c>
      <c r="D165" s="97">
        <v>5053.85</v>
      </c>
      <c r="E165" s="80">
        <f t="shared" si="12"/>
        <v>7038728.409999999</v>
      </c>
      <c r="F165" s="2">
        <f t="shared" si="13"/>
        <v>0</v>
      </c>
    </row>
    <row r="166" spans="1:6" ht="15">
      <c r="A166" s="195"/>
      <c r="B166" s="86" t="s">
        <v>30</v>
      </c>
      <c r="C166" s="78">
        <v>61524190.1</v>
      </c>
      <c r="D166" s="97">
        <v>3800589.51</v>
      </c>
      <c r="E166" s="80">
        <f t="shared" si="12"/>
        <v>65324779.61</v>
      </c>
      <c r="F166" s="2">
        <f t="shared" si="13"/>
        <v>0</v>
      </c>
    </row>
    <row r="167" spans="1:6" ht="15">
      <c r="A167" s="195"/>
      <c r="B167" s="86" t="s">
        <v>42</v>
      </c>
      <c r="C167" s="78">
        <v>991515.96</v>
      </c>
      <c r="D167" s="97">
        <v>68975.33</v>
      </c>
      <c r="E167" s="80">
        <f t="shared" si="12"/>
        <v>1060491.29</v>
      </c>
      <c r="F167" s="2">
        <f t="shared" si="13"/>
        <v>0</v>
      </c>
    </row>
    <row r="168" spans="1:6" ht="15">
      <c r="A168" s="195"/>
      <c r="B168" s="86" t="s">
        <v>39</v>
      </c>
      <c r="C168" s="78">
        <v>5421836.21</v>
      </c>
      <c r="D168" s="97">
        <v>95269.6</v>
      </c>
      <c r="E168" s="80">
        <f t="shared" si="12"/>
        <v>5517105.81</v>
      </c>
      <c r="F168" s="2">
        <f t="shared" si="13"/>
        <v>0</v>
      </c>
    </row>
    <row r="169" spans="1:6" ht="15">
      <c r="A169" s="195"/>
      <c r="B169" s="86" t="s">
        <v>43</v>
      </c>
      <c r="C169" s="78">
        <v>632712604</v>
      </c>
      <c r="D169" s="97">
        <v>4211575</v>
      </c>
      <c r="E169" s="80">
        <f t="shared" si="12"/>
        <v>636924179</v>
      </c>
      <c r="F169" s="2">
        <f t="shared" si="13"/>
        <v>0</v>
      </c>
    </row>
    <row r="170" spans="1:6" ht="15">
      <c r="A170" s="196"/>
      <c r="B170" s="86" t="s">
        <v>44</v>
      </c>
      <c r="C170" s="78">
        <v>5094302.99</v>
      </c>
      <c r="D170" s="97">
        <v>265276.26</v>
      </c>
      <c r="E170" s="80">
        <f t="shared" si="12"/>
        <v>5359579.25</v>
      </c>
      <c r="F170" s="2">
        <f t="shared" si="13"/>
        <v>0</v>
      </c>
    </row>
    <row r="171" spans="1:5" ht="15.75" thickBot="1">
      <c r="A171" s="153"/>
      <c r="B171" s="175"/>
      <c r="C171" s="154"/>
      <c r="D171" s="155"/>
      <c r="E171" s="156"/>
    </row>
    <row r="172" spans="1:6" s="15" customFormat="1" ht="15.75" thickBot="1">
      <c r="A172" s="192" t="s">
        <v>76</v>
      </c>
      <c r="B172" s="193"/>
      <c r="C172" s="27">
        <f>C163*$B$182/$B$185+C164*$B$183/$B$185+C165*$B$184/$B$185+C166+C167*$B$186/$B$185+C168*$B$187/$B$185+C170*$B$188/$B$185+C169*$B$189/$B$185</f>
        <v>211294437.29829043</v>
      </c>
      <c r="D172" s="27">
        <f>D163*$B$182/$B$185+D164*$B$183/$B$185+D165*$B$184/$B$185+D166+D167*$B$186/$B$185+D168*$B$187/$B$185+D170*$B$188/$B$185+D169*$B$189/$B$185</f>
        <v>15026470.637779722</v>
      </c>
      <c r="E172" s="28">
        <f>E163*$B$182/$B$185+E164*$B$183/$B$185+E165*$B$184/$B$185+E166+E167*$B$186/$B$185+E168*$B$187/$B$185+E170*$B$188/$B$185+E169*$B$189/$B$185</f>
        <v>226320907.93607023</v>
      </c>
      <c r="F172" s="2">
        <f>C172+D172-E172</f>
        <v>0</v>
      </c>
    </row>
    <row r="173" spans="1:6" s="47" customFormat="1" ht="15">
      <c r="A173" s="43"/>
      <c r="B173" s="44"/>
      <c r="C173" s="45"/>
      <c r="D173" s="45"/>
      <c r="E173" s="46"/>
      <c r="F173" s="1"/>
    </row>
    <row r="174" spans="1:6" s="47" customFormat="1" ht="15">
      <c r="A174" s="43"/>
      <c r="B174" s="44"/>
      <c r="C174" s="45"/>
      <c r="D174" s="45"/>
      <c r="E174" s="46"/>
      <c r="F174" s="1"/>
    </row>
    <row r="175" spans="1:6" s="15" customFormat="1" ht="15">
      <c r="A175" s="48"/>
      <c r="B175" s="49"/>
      <c r="C175" s="50"/>
      <c r="D175" s="50"/>
      <c r="E175" s="51"/>
      <c r="F175" s="2"/>
    </row>
    <row r="176" spans="1:6" s="15" customFormat="1" ht="24.75" customHeight="1" thickBot="1">
      <c r="A176" s="205" t="s">
        <v>77</v>
      </c>
      <c r="B176" s="206"/>
      <c r="C176" s="52">
        <f>C157+C172</f>
        <v>8841429632.203129</v>
      </c>
      <c r="D176" s="52">
        <f>D157+D172</f>
        <v>716145836.705801</v>
      </c>
      <c r="E176" s="53">
        <f>E157+E172</f>
        <v>9557575468.90893</v>
      </c>
      <c r="F176" s="2"/>
    </row>
    <row r="177" spans="1:6" s="38" customFormat="1" ht="14.25" customHeight="1" thickTop="1">
      <c r="A177" s="35"/>
      <c r="B177" s="35"/>
      <c r="C177" s="42"/>
      <c r="D177" s="42"/>
      <c r="E177" s="42"/>
      <c r="F177" s="1"/>
    </row>
    <row r="178" spans="1:6" s="38" customFormat="1" ht="14.25" customHeight="1">
      <c r="A178" s="35"/>
      <c r="B178" s="35"/>
      <c r="C178" s="42"/>
      <c r="D178" s="42"/>
      <c r="E178" s="215">
        <v>16</v>
      </c>
      <c r="F178" s="1"/>
    </row>
    <row r="179" ht="14.25" customHeight="1"/>
    <row r="180" ht="14.25" customHeight="1"/>
    <row r="181" spans="1:2" ht="12.75">
      <c r="A181" s="54" t="s">
        <v>45</v>
      </c>
      <c r="B181" s="2"/>
    </row>
    <row r="182" spans="1:2" ht="12.75">
      <c r="A182" s="55" t="s">
        <v>3</v>
      </c>
      <c r="B182" s="56">
        <v>86</v>
      </c>
    </row>
    <row r="183" spans="1:2" ht="12.75">
      <c r="A183" s="55" t="s">
        <v>40</v>
      </c>
      <c r="B183" s="56">
        <v>10.9329</v>
      </c>
    </row>
    <row r="184" spans="1:2" ht="12.75">
      <c r="A184" s="55" t="s">
        <v>41</v>
      </c>
      <c r="B184" s="56">
        <v>11.5302</v>
      </c>
    </row>
    <row r="185" spans="1:2" ht="12.75">
      <c r="A185" s="55" t="s">
        <v>30</v>
      </c>
      <c r="B185" s="56">
        <v>68.586</v>
      </c>
    </row>
    <row r="186" spans="1:2" ht="12.75">
      <c r="A186" s="55" t="s">
        <v>42</v>
      </c>
      <c r="B186" s="56">
        <v>124.4753</v>
      </c>
    </row>
    <row r="187" spans="1:2" ht="12.75">
      <c r="A187" s="55" t="s">
        <v>39</v>
      </c>
      <c r="B187" s="56">
        <v>54.9942</v>
      </c>
    </row>
    <row r="188" spans="1:2" ht="12.75">
      <c r="A188" s="55" t="s">
        <v>44</v>
      </c>
      <c r="B188" s="56">
        <v>9.3259</v>
      </c>
    </row>
    <row r="189" spans="1:2" ht="12.75">
      <c r="A189" s="57" t="s">
        <v>43</v>
      </c>
      <c r="B189" s="54">
        <v>0.589001</v>
      </c>
    </row>
    <row r="190" spans="1:2" ht="12.75">
      <c r="A190" s="57" t="s">
        <v>46</v>
      </c>
      <c r="B190" s="54">
        <v>1.46997</v>
      </c>
    </row>
  </sheetData>
  <mergeCells count="26">
    <mergeCell ref="A137:E137"/>
    <mergeCell ref="C2:G2"/>
    <mergeCell ref="A176:B176"/>
    <mergeCell ref="A157:B157"/>
    <mergeCell ref="A3:E3"/>
    <mergeCell ref="A4:E4"/>
    <mergeCell ref="A9:A10"/>
    <mergeCell ref="B9:B10"/>
    <mergeCell ref="A108:B108"/>
    <mergeCell ref="A96:B96"/>
    <mergeCell ref="C8:E8"/>
    <mergeCell ref="E9:E10"/>
    <mergeCell ref="A172:B172"/>
    <mergeCell ref="A163:A170"/>
    <mergeCell ref="C9:C10"/>
    <mergeCell ref="A111:B111"/>
    <mergeCell ref="A12:B12"/>
    <mergeCell ref="A114:B114"/>
    <mergeCell ref="A90:B90"/>
    <mergeCell ref="A89:B89"/>
    <mergeCell ref="A116:A123"/>
    <mergeCell ref="A82:B82"/>
    <mergeCell ref="D9:D10"/>
    <mergeCell ref="A17:B17"/>
    <mergeCell ref="A27:B27"/>
    <mergeCell ref="A59:B59"/>
  </mergeCells>
  <printOptions horizontalCentered="1"/>
  <pageMargins left="0.2362204724409449" right="0.2362204724409449" top="0.9448818897637796" bottom="0.5118110236220472" header="0.5118110236220472" footer="0.5118110236220472"/>
  <pageSetup fitToHeight="3" horizontalDpi="600" verticalDpi="600" orientation="portrait" paperSize="9" scale="61" r:id="rId1"/>
  <headerFooter alignWithMargins="0">
    <oddHeader>&amp;R
</oddHeader>
  </headerFooter>
  <rowBreaks count="2" manualBreakCount="2">
    <brk id="61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 </cp:lastModifiedBy>
  <cp:lastPrinted>2006-07-13T14:55:14Z</cp:lastPrinted>
  <dcterms:created xsi:type="dcterms:W3CDTF">2006-06-30T13:16:55Z</dcterms:created>
  <dcterms:modified xsi:type="dcterms:W3CDTF">2006-07-13T14:55:48Z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1141077434</vt:i4>
  </property>
  <property fmtid="{D5CDD505-2E9C-101B-9397-08002B2CF9AE}" pid="3" name="_EmailSubject">
    <vt:lpwstr>145.sednica, 13.07.06</vt:lpwstr>
  </property>
  <property fmtid="{D5CDD505-2E9C-101B-9397-08002B2CF9AE}" pid="4" name="_AuthorEmail">
    <vt:lpwstr>ankica@sr.gov.yu</vt:lpwstr>
  </property>
  <property fmtid="{D5CDD505-2E9C-101B-9397-08002B2CF9AE}" pid="5" name="_AuthorEmailDisplayName">
    <vt:lpwstr>Ankica Budisa Ninkovic</vt:lpwstr>
  </property>
  <property fmtid="{D5CDD505-2E9C-101B-9397-08002B2CF9AE}" pid="6" name="_PreviousAdHocReviewCycleID">
    <vt:i4>838333726</vt:i4>
  </property>
</Properties>
</file>